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jclm.es\MAMB\SC\AYUDASEC\6881.4 ACTUACIONES SELVÍCOLAS CON OBJETIVOS AMBIENTALES\07 Tramitación Conv2025_Trat.selvícolas\Formularios_v7\"/>
    </mc:Choice>
  </mc:AlternateContent>
  <xr:revisionPtr revIDLastSave="0" documentId="13_ncr:1_{A93B14AE-9E19-483A-AEBA-AB30FE1EF7A4}" xr6:coauthVersionLast="36" xr6:coauthVersionMax="47" xr10:uidLastSave="{00000000-0000-0000-0000-000000000000}"/>
  <bookViews>
    <workbookView xWindow="0" yWindow="0" windowWidth="28800" windowHeight="11508" activeTab="1" xr2:uid="{A665D2A4-007C-44E1-B6BD-EEE3182DF918}"/>
  </bookViews>
  <sheets>
    <sheet name="INSTRUCCIONES" sheetId="12" r:id="rId1"/>
    <sheet name="Zona Homogénea 1" sheetId="5"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8" i="5" l="1"/>
  <c r="M23" i="5" l="1"/>
  <c r="L35" i="5" l="1"/>
  <c r="L36" i="5"/>
  <c r="L37" i="5"/>
  <c r="L38" i="5"/>
  <c r="B25" i="5"/>
  <c r="B24" i="5"/>
  <c r="B23" i="5"/>
  <c r="B22" i="5"/>
  <c r="B21" i="5"/>
  <c r="B20" i="5"/>
  <c r="L39" i="5" l="1"/>
  <c r="M39" i="5" s="1"/>
  <c r="B31" i="5" s="1"/>
  <c r="O51" i="5" l="1"/>
  <c r="B30" i="5"/>
  <c r="B29" i="5"/>
  <c r="L2" i="5"/>
  <c r="E44" i="5" l="1"/>
  <c r="B44" i="5" s="1"/>
  <c r="D20" i="5"/>
  <c r="E45" i="5" l="1"/>
  <c r="B45" i="5" s="1"/>
  <c r="E46" i="5"/>
  <c r="B46" i="5" s="1"/>
  <c r="D31" i="5" l="1"/>
  <c r="D30" i="5" l="1"/>
  <c r="O50" i="5"/>
  <c r="D46" i="5"/>
  <c r="N6" i="5" l="1"/>
  <c r="O6" i="5" s="1"/>
  <c r="N7" i="5"/>
  <c r="O7" i="5" s="1"/>
  <c r="N8" i="5"/>
  <c r="O8" i="5" s="1"/>
  <c r="N9" i="5"/>
  <c r="O9" i="5" s="1"/>
  <c r="Q47" i="5" l="1"/>
  <c r="P47" i="5"/>
  <c r="O47" i="5"/>
  <c r="N47" i="5"/>
  <c r="M47" i="5"/>
  <c r="L47" i="5"/>
  <c r="B32" i="5" s="1"/>
  <c r="N31" i="5"/>
  <c r="B28" i="5" s="1"/>
  <c r="D28" i="5" s="1"/>
  <c r="M31" i="5"/>
  <c r="B27" i="5" s="1"/>
  <c r="D27" i="5" s="1"/>
  <c r="L31" i="5"/>
  <c r="B26" i="5" s="1"/>
  <c r="N50" i="5" s="1"/>
  <c r="L51" i="5"/>
  <c r="L23" i="5"/>
  <c r="M51" i="5" s="1"/>
  <c r="M50" i="5"/>
  <c r="D21" i="5"/>
  <c r="N12" i="5" l="1"/>
  <c r="N23" i="5"/>
  <c r="D32" i="5"/>
  <c r="B33" i="5"/>
  <c r="D33" i="5" s="1"/>
  <c r="B35" i="5"/>
  <c r="D35" i="5" s="1"/>
  <c r="B36" i="5"/>
  <c r="D36" i="5" s="1"/>
  <c r="B34" i="5"/>
  <c r="D34" i="5" s="1"/>
  <c r="B37" i="5"/>
  <c r="D37" i="5" s="1"/>
  <c r="D22" i="5"/>
  <c r="D26" i="5"/>
  <c r="M54" i="5"/>
  <c r="D29" i="5"/>
  <c r="D25" i="5"/>
  <c r="D44" i="5"/>
  <c r="D45" i="5"/>
  <c r="D24" i="5"/>
  <c r="E42" i="5" l="1"/>
  <c r="E43" i="5"/>
  <c r="E41" i="5"/>
  <c r="P50" i="5"/>
  <c r="L54" i="5" s="1"/>
  <c r="E40" i="5" s="1"/>
  <c r="B40" i="5" s="1"/>
  <c r="L50" i="5"/>
  <c r="D23" i="5"/>
  <c r="E38" i="5" l="1"/>
  <c r="B38" i="5" s="1"/>
  <c r="E39" i="5"/>
  <c r="D38" i="5" l="1"/>
  <c r="B39" i="5"/>
  <c r="D39" i="5" s="1"/>
  <c r="D40" i="5"/>
  <c r="B41" i="5" l="1"/>
  <c r="D41" i="5" s="1"/>
  <c r="B43" i="5"/>
  <c r="D43" i="5" s="1"/>
  <c r="B42" i="5"/>
  <c r="D42" i="5" s="1"/>
  <c r="D47" i="5" l="1"/>
  <c r="N2" i="5" l="1"/>
  <c r="N3" i="5"/>
  <c r="D48" i="5"/>
  <c r="I5" i="5" s="1"/>
  <c r="I14" i="5"/>
  <c r="I8" i="5"/>
  <c r="I2" i="5"/>
  <c r="I15" i="5"/>
  <c r="I11" i="5"/>
  <c r="I7" i="5"/>
  <c r="I4" i="5"/>
  <c r="I3" i="5"/>
  <c r="I16" i="5"/>
  <c r="I13" i="5"/>
  <c r="I12" i="5"/>
  <c r="I9" i="5"/>
  <c r="I6" i="5"/>
  <c r="I17" i="5"/>
  <c r="I10" i="5"/>
  <c r="O2" i="5" l="1"/>
  <c r="O3" i="5" l="1"/>
  <c r="P2" i="5"/>
  <c r="P1" i="5"/>
  <c r="O4" i="5"/>
  <c r="P3" i="5" l="1"/>
</calcChain>
</file>

<file path=xl/sharedStrings.xml><?xml version="1.0" encoding="utf-8"?>
<sst xmlns="http://schemas.openxmlformats.org/spreadsheetml/2006/main" count="107" uniqueCount="100">
  <si>
    <t xml:space="preserve">Convocatoria 2026 </t>
  </si>
  <si>
    <t>Si se producen incompatibilidades entre datos, aparecerán celdas en rojo</t>
  </si>
  <si>
    <t>Provincia (Nº)</t>
  </si>
  <si>
    <t>TM (Nº)</t>
  </si>
  <si>
    <t>Agregado</t>
  </si>
  <si>
    <t>Zona</t>
  </si>
  <si>
    <t>Pol</t>
  </si>
  <si>
    <t>Parc</t>
  </si>
  <si>
    <t>Rec</t>
  </si>
  <si>
    <t>Sup. sol (ha)</t>
  </si>
  <si>
    <t>€ sol.</t>
  </si>
  <si>
    <t>Arbóreas</t>
  </si>
  <si>
    <t>Especie</t>
  </si>
  <si>
    <t>Pies/ha</t>
  </si>
  <si>
    <t>Especie 1</t>
  </si>
  <si>
    <t>Especie 2</t>
  </si>
  <si>
    <t>Especie 3</t>
  </si>
  <si>
    <t>Especie 4</t>
  </si>
  <si>
    <t>Matorral</t>
  </si>
  <si>
    <t>%</t>
  </si>
  <si>
    <t>Fcc inicial</t>
  </si>
  <si>
    <t>Fcc a eliminar</t>
  </si>
  <si>
    <t>Tarifas</t>
  </si>
  <si>
    <t>Ud</t>
  </si>
  <si>
    <t>Importe</t>
  </si>
  <si>
    <t>€/ha</t>
  </si>
  <si>
    <t>Manual</t>
  </si>
  <si>
    <t>Mecanizada</t>
  </si>
  <si>
    <t>TS1</t>
  </si>
  <si>
    <t>&lt; 3</t>
  </si>
  <si>
    <t>TS2</t>
  </si>
  <si>
    <t>3-6</t>
  </si>
  <si>
    <t>TS3</t>
  </si>
  <si>
    <t>&gt; 6</t>
  </si>
  <si>
    <t>TS4</t>
  </si>
  <si>
    <t>Total</t>
  </si>
  <si>
    <t>TS5</t>
  </si>
  <si>
    <t>TS6</t>
  </si>
  <si>
    <t>TS7</t>
  </si>
  <si>
    <t>&lt;12</t>
  </si>
  <si>
    <t>12-20</t>
  </si>
  <si>
    <t>&gt;20</t>
  </si>
  <si>
    <t>TS8</t>
  </si>
  <si>
    <t>TS9</t>
  </si>
  <si>
    <t>TS10</t>
  </si>
  <si>
    <t>TS11</t>
  </si>
  <si>
    <t>TS12</t>
  </si>
  <si>
    <t>TS13</t>
  </si>
  <si>
    <t>TS14</t>
  </si>
  <si>
    <t>Resalveo</t>
  </si>
  <si>
    <t>TS15</t>
  </si>
  <si>
    <t>N/ha inicial</t>
  </si>
  <si>
    <t>TS16</t>
  </si>
  <si>
    <t>TS17</t>
  </si>
  <si>
    <t>TS18</t>
  </si>
  <si>
    <t>Poda</t>
  </si>
  <si>
    <t>TS19</t>
  </si>
  <si>
    <t>Dehesas</t>
  </si>
  <si>
    <t>TS20</t>
  </si>
  <si>
    <t>TS21</t>
  </si>
  <si>
    <t>TS22</t>
  </si>
  <si>
    <t>TS23</t>
  </si>
  <si>
    <t>TS24</t>
  </si>
  <si>
    <t>TS25</t>
  </si>
  <si>
    <t>TS26</t>
  </si>
  <si>
    <t>Roza mecanizada</t>
  </si>
  <si>
    <t>Roza manual</t>
  </si>
  <si>
    <t>Corta</t>
  </si>
  <si>
    <t>TS27</t>
  </si>
  <si>
    <t>Actuación</t>
  </si>
  <si>
    <t>% Superficie afectada por restos &lt;6 cm generados en la operación</t>
  </si>
  <si>
    <t>% Sup. resalveo</t>
  </si>
  <si>
    <t>máx 1,75 m/1 m</t>
  </si>
  <si>
    <t>máx 1,75 m/&gt; 1 m</t>
  </si>
  <si>
    <t>máx 3 m/1 m</t>
  </si>
  <si>
    <t>máx 3 m/&gt; 1 m</t>
  </si>
  <si>
    <t>máx 5,5 m</t>
  </si>
  <si>
    <t xml:space="preserve">% Superficie TOTAL afectada por restos &lt;6 cm </t>
  </si>
  <si>
    <t>Indica la pendiente</t>
  </si>
  <si>
    <t>Sup. (ha)</t>
  </si>
  <si>
    <t>Total zona homogénea</t>
  </si>
  <si>
    <t xml:space="preserve">Indicar aquí el NIF de la persona solicitante: </t>
  </si>
  <si>
    <t>Restos &lt; 6 cm proceden de 1 operación</t>
  </si>
  <si>
    <t>Restos &lt; 6 cm proceden de 2 o más operaciones</t>
  </si>
  <si>
    <t>¿Solicita gestión de restos &gt; 6 cm?</t>
  </si>
  <si>
    <t>Importe unitario solicitado (€/ha)</t>
  </si>
  <si>
    <t>Pte. media (%)</t>
  </si>
  <si>
    <t>Importe total solicitado (€)</t>
  </si>
  <si>
    <r>
      <t xml:space="preserve">Las celdas en este color son las </t>
    </r>
    <r>
      <rPr>
        <b/>
        <sz val="16"/>
        <color theme="1"/>
        <rFont val="Calibri"/>
        <family val="2"/>
        <scheme val="minor"/>
      </rPr>
      <t>ÚNICAS</t>
    </r>
    <r>
      <rPr>
        <sz val="16"/>
        <color theme="1"/>
        <rFont val="Calibri"/>
        <family val="2"/>
        <scheme val="minor"/>
      </rPr>
      <t xml:space="preserve"> en las que se introducen datos. </t>
    </r>
    <r>
      <rPr>
        <b/>
        <sz val="16"/>
        <color theme="1"/>
        <rFont val="Calibri"/>
        <family val="2"/>
        <scheme val="minor"/>
      </rPr>
      <t>Importante: si no hay dato, NO poner 0 (cero)</t>
    </r>
  </si>
  <si>
    <t xml:space="preserve">Antes de introducir datos, generar una pestaña para cada zona homogénea </t>
  </si>
  <si>
    <t>La columna "Especie" se debe rellenar con el nombre completo en latín: Quercus ilex, Pinus pinaster etc (No válido Q. ilex o encina, por ejemplo)</t>
  </si>
  <si>
    <t>Sugerencia: nombrar este archivo  excel con el NIF de la persona solicitante. Ejemplo: SOLICITUD_99999999A</t>
  </si>
  <si>
    <t>Orden 126/2025, de 27 de agosto, de la Consejería de Desarrollo Sostenible por la que se establecen las bases reguladoras para la concesión de ayudas para la ejecución de tratamientos selvícolas en el marco del PEPAC para el periodo 2023-2027 y cofinanciadas por el Fondo Europeo Agrícola de Desarrollo Rural</t>
  </si>
  <si>
    <t>Roza (de TS1 a TS6)</t>
  </si>
  <si>
    <t>Corta pies sobrantes (de TS7 a TS9)</t>
  </si>
  <si>
    <t>Resalveo  (de TS10 a TS12)</t>
  </si>
  <si>
    <t>Poda (de TS13 a TS18)</t>
  </si>
  <si>
    <t>GR &lt; 6 cm (de TS19 a TS24)</t>
  </si>
  <si>
    <t>GR &gt; 6 cm (de TS25 a TS27)</t>
  </si>
  <si>
    <t>% Superficie TOTAL afectada
por restos &gt; 6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</si>
</sst>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1"/>
      <name val="Calibri"/>
      <family val="2"/>
      <scheme val="minor"/>
    </font>
    <font>
      <sz val="11"/>
      <color rgb="FFFFFFFF"/>
      <name val="Courier New"/>
      <family val="3"/>
    </font>
    <font>
      <sz val="11"/>
      <color rgb="FFFF0000"/>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CCEF2"/>
        <bgColor indexed="64"/>
      </patternFill>
    </fill>
    <fill>
      <patternFill patternType="solid">
        <fgColor theme="7"/>
        <bgColor indexed="64"/>
      </patternFill>
    </fill>
    <fill>
      <patternFill patternType="solid">
        <fgColor theme="4" tint="0.59999389629810485"/>
        <bgColor indexed="64"/>
      </patternFill>
    </fill>
    <fill>
      <patternFill patternType="solid">
        <fgColor rgb="FFFFF2CD"/>
        <bgColor indexed="64"/>
      </patternFill>
    </fill>
    <fill>
      <patternFill patternType="solid">
        <fgColor rgb="FFFF00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0" fontId="3" fillId="5" borderId="1"/>
    <xf numFmtId="0" fontId="3" fillId="12" borderId="0">
      <alignment vertical="center"/>
    </xf>
    <xf numFmtId="9" fontId="3" fillId="0" borderId="0" applyFont="0" applyFill="0" applyBorder="0" applyAlignment="0" applyProtection="0"/>
  </cellStyleXfs>
  <cellXfs count="96">
    <xf numFmtId="0" fontId="0" fillId="0" borderId="0" xfId="0"/>
    <xf numFmtId="0" fontId="0" fillId="0" borderId="0" xfId="0" applyAlignment="1">
      <alignment vertical="top"/>
    </xf>
    <xf numFmtId="4" fontId="0" fillId="2" borderId="1" xfId="0" applyNumberFormat="1" applyFill="1" applyBorder="1" applyAlignment="1">
      <alignment horizontal="right" vertical="center"/>
    </xf>
    <xf numFmtId="4" fontId="0" fillId="3" borderId="1" xfId="0" applyNumberFormat="1" applyFill="1" applyBorder="1" applyAlignment="1">
      <alignment horizontal="right" vertical="center"/>
    </xf>
    <xf numFmtId="0" fontId="0" fillId="4" borderId="1" xfId="0" applyFill="1" applyBorder="1"/>
    <xf numFmtId="0" fontId="0" fillId="4" borderId="1" xfId="0" applyFill="1" applyBorder="1" applyAlignment="1">
      <alignment horizontal="center"/>
    </xf>
    <xf numFmtId="49" fontId="0" fillId="4" borderId="1" xfId="0" applyNumberFormat="1" applyFill="1" applyBorder="1" applyAlignment="1">
      <alignment horizontal="right"/>
    </xf>
    <xf numFmtId="9" fontId="0" fillId="4" borderId="1" xfId="0" applyNumberFormat="1" applyFill="1" applyBorder="1"/>
    <xf numFmtId="49" fontId="0" fillId="4" borderId="1" xfId="0" applyNumberFormat="1" applyFill="1" applyBorder="1" applyAlignment="1">
      <alignment horizontal="center"/>
    </xf>
    <xf numFmtId="0" fontId="0" fillId="4" borderId="1" xfId="0" applyFill="1" applyBorder="1" applyAlignment="1">
      <alignment vertical="top"/>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 fillId="4" borderId="1" xfId="0" applyFont="1" applyFill="1" applyBorder="1" applyAlignment="1">
      <alignment horizontal="center" vertical="center"/>
    </xf>
    <xf numFmtId="9" fontId="3" fillId="5" borderId="1" xfId="1" applyNumberFormat="1"/>
    <xf numFmtId="4"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left" vertical="center"/>
    </xf>
    <xf numFmtId="0" fontId="5" fillId="0" borderId="0" xfId="0" applyFont="1"/>
    <xf numFmtId="0" fontId="1" fillId="4" borderId="1" xfId="0" applyFont="1" applyFill="1" applyBorder="1" applyAlignment="1">
      <alignment horizontal="right"/>
    </xf>
    <xf numFmtId="3" fontId="3" fillId="5" borderId="1" xfId="1" applyNumberFormat="1"/>
    <xf numFmtId="4" fontId="0" fillId="7" borderId="1" xfId="0" applyNumberFormat="1" applyFill="1" applyBorder="1" applyAlignment="1">
      <alignment horizontal="right" vertical="center"/>
    </xf>
    <xf numFmtId="4" fontId="1" fillId="7" borderId="1" xfId="0" applyNumberFormat="1" applyFont="1" applyFill="1" applyBorder="1" applyAlignment="1">
      <alignment horizontal="left" vertical="center"/>
    </xf>
    <xf numFmtId="3" fontId="0" fillId="4" borderId="1" xfId="0" applyNumberFormat="1" applyFill="1" applyBorder="1"/>
    <xf numFmtId="0" fontId="7" fillId="0" borderId="0" xfId="0" applyFont="1"/>
    <xf numFmtId="4" fontId="1" fillId="8" borderId="1" xfId="0" applyNumberFormat="1" applyFont="1" applyFill="1" applyBorder="1" applyAlignment="1">
      <alignment horizontal="left" vertical="center"/>
    </xf>
    <xf numFmtId="4" fontId="0" fillId="8" borderId="1" xfId="0" applyNumberFormat="1" applyFill="1" applyBorder="1" applyAlignment="1">
      <alignment horizontal="right" vertical="center"/>
    </xf>
    <xf numFmtId="0" fontId="2" fillId="5" borderId="1" xfId="1" applyFont="1"/>
    <xf numFmtId="4" fontId="3" fillId="0" borderId="0" xfId="1" applyNumberFormat="1" applyFill="1" applyBorder="1"/>
    <xf numFmtId="164" fontId="0" fillId="5" borderId="1" xfId="0" applyNumberFormat="1" applyFill="1" applyBorder="1"/>
    <xf numFmtId="0" fontId="1" fillId="0" borderId="0" xfId="0" applyFont="1" applyAlignment="1">
      <alignment horizontal="right"/>
    </xf>
    <xf numFmtId="0" fontId="1" fillId="4" borderId="1" xfId="0" applyFont="1" applyFill="1" applyBorder="1" applyAlignment="1">
      <alignment horizontal="center"/>
    </xf>
    <xf numFmtId="0" fontId="1" fillId="0" borderId="0" xfId="0" applyFont="1" applyAlignment="1">
      <alignment horizontal="center"/>
    </xf>
    <xf numFmtId="3" fontId="3" fillId="0" borderId="0" xfId="1" applyNumberFormat="1" applyFill="1" applyBorder="1"/>
    <xf numFmtId="0" fontId="0" fillId="0" borderId="3" xfId="0" applyBorder="1"/>
    <xf numFmtId="49" fontId="0" fillId="0" borderId="0" xfId="0" applyNumberFormat="1" applyAlignment="1">
      <alignment horizontal="right"/>
    </xf>
    <xf numFmtId="0" fontId="1" fillId="0" borderId="2" xfId="0" applyFont="1" applyBorder="1"/>
    <xf numFmtId="0" fontId="1" fillId="0" borderId="0" xfId="0" applyFont="1"/>
    <xf numFmtId="0" fontId="1" fillId="0" borderId="2" xfId="0" applyFont="1" applyBorder="1" applyAlignment="1">
      <alignment vertical="center"/>
    </xf>
    <xf numFmtId="0" fontId="0" fillId="4" borderId="1" xfId="0" applyFill="1" applyBorder="1" applyAlignment="1">
      <alignment horizontal="center" vertical="top" wrapText="1"/>
    </xf>
    <xf numFmtId="0" fontId="0" fillId="4" borderId="1" xfId="0" applyFill="1" applyBorder="1" applyAlignment="1">
      <alignment horizontal="right"/>
    </xf>
    <xf numFmtId="0" fontId="1" fillId="0" borderId="1" xfId="0" applyFont="1" applyBorder="1"/>
    <xf numFmtId="0" fontId="1" fillId="0" borderId="4" xfId="0" applyFont="1" applyBorder="1" applyAlignment="1">
      <alignment vertical="center"/>
    </xf>
    <xf numFmtId="0" fontId="0" fillId="4" borderId="1" xfId="0" applyFill="1" applyBorder="1" applyAlignment="1">
      <alignment horizontal="right" wrapText="1"/>
    </xf>
    <xf numFmtId="4" fontId="1" fillId="9" borderId="1" xfId="0" applyNumberFormat="1" applyFont="1" applyFill="1" applyBorder="1" applyAlignment="1">
      <alignment horizontal="left" vertical="center"/>
    </xf>
    <xf numFmtId="4" fontId="0" fillId="9" borderId="1" xfId="0" applyNumberFormat="1" applyFill="1" applyBorder="1" applyAlignment="1">
      <alignment horizontal="right" vertical="center"/>
    </xf>
    <xf numFmtId="4" fontId="1" fillId="6" borderId="1" xfId="0" applyNumberFormat="1" applyFont="1" applyFill="1" applyBorder="1" applyAlignment="1">
      <alignment horizontal="left" vertical="center"/>
    </xf>
    <xf numFmtId="4" fontId="0" fillId="6" borderId="1" xfId="0" applyNumberFormat="1" applyFill="1" applyBorder="1" applyAlignment="1">
      <alignment horizontal="right" vertical="center"/>
    </xf>
    <xf numFmtId="4" fontId="1" fillId="10" borderId="1" xfId="0" applyNumberFormat="1" applyFont="1" applyFill="1" applyBorder="1" applyAlignment="1">
      <alignment horizontal="left" vertical="center"/>
    </xf>
    <xf numFmtId="4" fontId="0" fillId="10" borderId="1" xfId="0" applyNumberFormat="1" applyFill="1" applyBorder="1" applyAlignment="1">
      <alignment horizontal="right" vertical="center"/>
    </xf>
    <xf numFmtId="0" fontId="0" fillId="0" borderId="0" xfId="0" applyAlignment="1">
      <alignment vertical="center"/>
    </xf>
    <xf numFmtId="4" fontId="4" fillId="0" borderId="1" xfId="0" applyNumberFormat="1" applyFont="1" applyBorder="1"/>
    <xf numFmtId="0" fontId="8" fillId="0" borderId="0" xfId="0" applyFont="1"/>
    <xf numFmtId="0" fontId="9" fillId="0" borderId="0" xfId="0" applyFont="1"/>
    <xf numFmtId="4" fontId="0" fillId="4" borderId="1" xfId="0" applyNumberFormat="1" applyFill="1" applyBorder="1"/>
    <xf numFmtId="49" fontId="0" fillId="4" borderId="1" xfId="0" applyNumberFormat="1" applyFill="1" applyBorder="1" applyAlignment="1">
      <alignment vertical="center" wrapText="1"/>
    </xf>
    <xf numFmtId="9" fontId="3" fillId="5" borderId="1" xfId="1" applyNumberFormat="1" applyAlignment="1">
      <alignment horizontal="center" vertical="center"/>
    </xf>
    <xf numFmtId="2" fontId="0" fillId="6" borderId="1" xfId="0" applyNumberFormat="1" applyFill="1" applyBorder="1" applyAlignment="1">
      <alignment horizontal="right" vertical="center"/>
    </xf>
    <xf numFmtId="2" fontId="0" fillId="10" borderId="1" xfId="0" applyNumberFormat="1" applyFill="1" applyBorder="1" applyAlignment="1">
      <alignment horizontal="right" vertical="center"/>
    </xf>
    <xf numFmtId="2" fontId="0" fillId="3" borderId="1" xfId="0" applyNumberFormat="1" applyFill="1" applyBorder="1" applyAlignment="1">
      <alignment horizontal="right" vertical="center"/>
    </xf>
    <xf numFmtId="2" fontId="3" fillId="7" borderId="1" xfId="1" applyNumberFormat="1" applyFill="1" applyAlignment="1">
      <alignment horizontal="right" vertical="center"/>
    </xf>
    <xf numFmtId="2" fontId="3" fillId="9" borderId="1" xfId="1" applyNumberFormat="1" applyFill="1" applyAlignment="1">
      <alignment horizontal="right" vertical="center"/>
    </xf>
    <xf numFmtId="1" fontId="0" fillId="2" borderId="1" xfId="0" applyNumberFormat="1" applyFill="1" applyBorder="1" applyAlignment="1">
      <alignment horizontal="right" vertical="center"/>
    </xf>
    <xf numFmtId="1" fontId="0" fillId="8" borderId="1" xfId="0" applyNumberFormat="1" applyFill="1" applyBorder="1" applyAlignment="1">
      <alignment horizontal="right" vertical="center"/>
    </xf>
    <xf numFmtId="0" fontId="8" fillId="11" borderId="1" xfId="0" applyFont="1" applyFill="1" applyBorder="1" applyAlignment="1">
      <alignment wrapText="1"/>
    </xf>
    <xf numFmtId="165" fontId="3" fillId="0" borderId="0" xfId="1" applyNumberFormat="1" applyFill="1" applyBorder="1"/>
    <xf numFmtId="0" fontId="6" fillId="4" borderId="1" xfId="0" applyFont="1" applyFill="1" applyBorder="1" applyAlignment="1">
      <alignment horizontal="center" vertical="center"/>
    </xf>
    <xf numFmtId="9" fontId="3" fillId="5" borderId="5" xfId="1" applyNumberFormat="1" applyBorder="1" applyAlignment="1">
      <alignment horizontal="center" vertical="center"/>
    </xf>
    <xf numFmtId="9" fontId="3" fillId="4" borderId="1" xfId="1" applyNumberFormat="1" applyFill="1" applyAlignment="1">
      <alignment horizontal="center" vertical="center"/>
    </xf>
    <xf numFmtId="4" fontId="0" fillId="0" borderId="0" xfId="0" applyNumberFormat="1"/>
    <xf numFmtId="9" fontId="3" fillId="5" borderId="1" xfId="1" applyNumberFormat="1" applyAlignment="1">
      <alignment vertical="center"/>
    </xf>
    <xf numFmtId="9" fontId="3" fillId="5" borderId="1" xfId="3" applyFill="1" applyBorder="1" applyAlignment="1">
      <alignment vertical="center"/>
    </xf>
    <xf numFmtId="0" fontId="3" fillId="4" borderId="1" xfId="1" applyNumberFormat="1" applyFill="1"/>
    <xf numFmtId="0" fontId="3" fillId="4" borderId="1" xfId="1" applyNumberFormat="1" applyFill="1" applyAlignment="1">
      <alignment wrapText="1"/>
    </xf>
    <xf numFmtId="0" fontId="0" fillId="4" borderId="1" xfId="0" applyFill="1" applyBorder="1" applyAlignment="1">
      <alignment horizontal="right" vertical="center"/>
    </xf>
    <xf numFmtId="0" fontId="0" fillId="0" borderId="0" xfId="0" applyFill="1" applyAlignment="1">
      <alignment vertical="center"/>
    </xf>
    <xf numFmtId="0" fontId="1" fillId="0" borderId="0" xfId="0" applyFont="1" applyFill="1" applyBorder="1" applyAlignment="1">
      <alignment horizontal="right"/>
    </xf>
    <xf numFmtId="4" fontId="0" fillId="0" borderId="0" xfId="0" applyNumberFormat="1" applyFill="1" applyBorder="1"/>
    <xf numFmtId="164" fontId="0" fillId="0" borderId="0" xfId="0" applyNumberFormat="1" applyFill="1" applyBorder="1"/>
    <xf numFmtId="0" fontId="3" fillId="5" borderId="1" xfId="1" applyAlignment="1">
      <alignment vertical="center"/>
    </xf>
    <xf numFmtId="2" fontId="3" fillId="5" borderId="1" xfId="1" applyNumberFormat="1" applyAlignment="1">
      <alignment vertical="center"/>
    </xf>
    <xf numFmtId="4" fontId="3" fillId="4" borderId="1" xfId="1" applyNumberFormat="1" applyFill="1" applyAlignment="1">
      <alignment vertical="center"/>
    </xf>
    <xf numFmtId="0" fontId="0" fillId="0" borderId="0" xfId="0" applyAlignment="1">
      <alignment wrapText="1"/>
    </xf>
    <xf numFmtId="0" fontId="1" fillId="4" borderId="1" xfId="0" applyFont="1" applyFill="1" applyBorder="1" applyAlignment="1">
      <alignment horizontal="center" vertical="center" wrapText="1"/>
    </xf>
    <xf numFmtId="4" fontId="3" fillId="0" borderId="0" xfId="1" applyNumberFormat="1" applyFill="1" applyBorder="1" applyAlignment="1">
      <alignment vertical="center"/>
    </xf>
    <xf numFmtId="0" fontId="0" fillId="0" borderId="2" xfId="0" applyBorder="1" applyAlignment="1">
      <alignment vertical="center"/>
    </xf>
    <xf numFmtId="0" fontId="1" fillId="0" borderId="0" xfId="0" applyFont="1" applyAlignment="1">
      <alignment horizontal="center" vertical="center" wrapText="1"/>
    </xf>
    <xf numFmtId="4" fontId="0" fillId="0" borderId="0" xfId="0" applyNumberFormat="1" applyFill="1" applyBorder="1" applyAlignment="1">
      <alignment vertical="center" wrapText="1"/>
    </xf>
    <xf numFmtId="4" fontId="3" fillId="0" borderId="0" xfId="1" applyNumberFormat="1" applyFont="1" applyFill="1" applyBorder="1" applyAlignment="1">
      <alignment vertical="center" wrapText="1"/>
    </xf>
    <xf numFmtId="0" fontId="11" fillId="0" borderId="0" xfId="0" applyFont="1"/>
    <xf numFmtId="0" fontId="10" fillId="11" borderId="8" xfId="0" applyFont="1" applyFill="1" applyBorder="1" applyAlignment="1">
      <alignment horizontal="center" wrapText="1"/>
    </xf>
    <xf numFmtId="0" fontId="10" fillId="11" borderId="9" xfId="0" applyFont="1" applyFill="1" applyBorder="1" applyAlignment="1">
      <alignment horizontal="center" wrapText="1"/>
    </xf>
    <xf numFmtId="0" fontId="10" fillId="11" borderId="10" xfId="0" applyFont="1" applyFill="1" applyBorder="1" applyAlignment="1">
      <alignment horizontal="center" wrapText="1"/>
    </xf>
    <xf numFmtId="0" fontId="0" fillId="0" borderId="0" xfId="0" applyAlignment="1">
      <alignment horizontal="center"/>
    </xf>
    <xf numFmtId="9" fontId="3" fillId="5" borderId="1" xfId="1" applyNumberFormat="1" applyAlignment="1">
      <alignment horizontal="right" vertical="center"/>
    </xf>
    <xf numFmtId="9" fontId="0" fillId="4" borderId="6" xfId="0" applyNumberFormat="1" applyFill="1" applyBorder="1" applyAlignment="1">
      <alignment vertical="center"/>
    </xf>
    <xf numFmtId="9" fontId="0" fillId="4" borderId="7" xfId="0" applyNumberFormat="1" applyFill="1" applyBorder="1" applyAlignment="1">
      <alignment vertical="center"/>
    </xf>
    <xf numFmtId="9" fontId="0" fillId="4" borderId="5" xfId="0" applyNumberFormat="1" applyFill="1" applyBorder="1" applyAlignment="1">
      <alignment vertical="center"/>
    </xf>
  </cellXfs>
  <cellStyles count="4">
    <cellStyle name="Error" xfId="2" xr:uid="{20753D26-56FB-44CC-9EED-2797C0631E90}"/>
    <cellStyle name="Normal" xfId="0" builtinId="0"/>
    <cellStyle name="Porcentaje" xfId="3" builtinId="5"/>
    <cellStyle name="Rellenar" xfId="1" xr:uid="{89A973CC-D78E-42DD-9445-84BDD4074AB0}"/>
  </cellStyles>
  <dxfs count="59">
    <dxf>
      <fill>
        <patternFill patternType="solid">
          <bgColor theme="6" tint="0.79998168889431442"/>
        </patternFill>
      </fill>
      <border>
        <left style="thin">
          <color auto="1"/>
        </left>
        <right style="thin">
          <color auto="1"/>
        </right>
        <top style="thin">
          <color auto="1"/>
        </top>
        <bottom style="thin">
          <color auto="1"/>
        </bottom>
      </border>
    </dxf>
    <dxf>
      <fill>
        <patternFill>
          <bgColor rgb="FFFF8C00"/>
        </patternFill>
      </fill>
    </dxf>
    <dxf>
      <font>
        <b/>
        <i val="0"/>
      </font>
      <border>
        <left style="thin">
          <color auto="1"/>
        </left>
        <right style="thin">
          <color auto="1"/>
        </right>
        <top style="thin">
          <color auto="1"/>
        </top>
        <bottom style="thin">
          <color auto="1"/>
        </bottom>
      </border>
    </dxf>
    <dxf>
      <font>
        <b/>
        <i val="0"/>
      </font>
      <border>
        <left style="thin">
          <color auto="1"/>
        </left>
        <right style="thin">
          <color auto="1"/>
        </right>
        <top style="thin">
          <color auto="1"/>
        </top>
        <bottom style="thin">
          <color auto="1"/>
        </bottom>
        <vertical/>
        <horizontal/>
      </border>
    </dxf>
    <dxf>
      <font>
        <b val="0"/>
        <i val="0"/>
      </font>
      <fill>
        <patternFill>
          <bgColor rgb="FFFF8C00"/>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8C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patternFill>
      </fill>
    </dxf>
    <dxf>
      <font>
        <color auto="1"/>
      </font>
      <fill>
        <patternFill>
          <bgColor rgb="FFFF0000"/>
        </patternFill>
      </fill>
    </dxf>
    <dxf>
      <font>
        <color auto="1"/>
      </font>
      <fill>
        <patternFill>
          <bgColor rgb="FFFF0000"/>
        </patternFill>
      </fill>
    </dxf>
    <dxf>
      <fill>
        <patternFill>
          <bgColor theme="5"/>
        </patternFill>
      </fill>
    </dxf>
    <dxf>
      <fill>
        <patternFill>
          <bgColor theme="5"/>
        </patternFill>
      </fill>
    </dxf>
    <dxf>
      <font>
        <color auto="1"/>
      </font>
      <fill>
        <patternFill>
          <bgColor rgb="FFFF0000"/>
        </patternFill>
      </fill>
    </dxf>
    <dxf>
      <font>
        <color auto="1"/>
      </font>
      <fill>
        <patternFill>
          <bgColor rgb="FFFF0000"/>
        </patternFill>
      </fill>
    </dxf>
    <dxf>
      <fill>
        <patternFill>
          <bgColor theme="4" tint="0.39994506668294322"/>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theme="9"/>
        </patternFill>
      </fill>
    </dxf>
    <dxf>
      <font>
        <color auto="1"/>
      </font>
      <fill>
        <patternFill>
          <bgColor theme="9"/>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FCCEF2"/>
      <color rgb="FFFF8C00"/>
      <color rgb="FFFF4500"/>
      <color rgb="FFFFBF00"/>
      <color rgb="FFFFA500"/>
      <color rgb="FFFF99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8359-F1F0-4F3D-AF15-D59605C986CF}">
  <dimension ref="A1:L15"/>
  <sheetViews>
    <sheetView zoomScaleNormal="100" workbookViewId="0">
      <selection activeCell="H22" sqref="H22"/>
    </sheetView>
  </sheetViews>
  <sheetFormatPr baseColWidth="10" defaultColWidth="11.44140625" defaultRowHeight="14.4" x14ac:dyDescent="0.3"/>
  <cols>
    <col min="3" max="3" width="16.88671875" customWidth="1"/>
    <col min="4" max="4" width="20.5546875" customWidth="1"/>
    <col min="10" max="10" width="11.5546875" customWidth="1"/>
  </cols>
  <sheetData>
    <row r="1" spans="1:12" s="50" customFormat="1" ht="18" x14ac:dyDescent="0.35">
      <c r="A1" s="50" t="s">
        <v>92</v>
      </c>
    </row>
    <row r="2" spans="1:12" ht="23.4" x14ac:dyDescent="0.45">
      <c r="A2" s="87" t="s">
        <v>0</v>
      </c>
    </row>
    <row r="4" spans="1:12" ht="21.6" thickBot="1" x14ac:dyDescent="0.45">
      <c r="A4" s="51"/>
    </row>
    <row r="5" spans="1:12" ht="26.4" customHeight="1" thickBot="1" x14ac:dyDescent="0.45">
      <c r="A5" s="88" t="s">
        <v>88</v>
      </c>
      <c r="B5" s="89"/>
      <c r="C5" s="89"/>
      <c r="D5" s="89"/>
      <c r="E5" s="89"/>
      <c r="F5" s="89"/>
      <c r="G5" s="89"/>
      <c r="H5" s="89"/>
      <c r="I5" s="89"/>
      <c r="J5" s="89"/>
      <c r="K5" s="89"/>
      <c r="L5" s="90"/>
    </row>
    <row r="7" spans="1:12" x14ac:dyDescent="0.3">
      <c r="A7" t="s">
        <v>89</v>
      </c>
    </row>
    <row r="9" spans="1:12" x14ac:dyDescent="0.3">
      <c r="A9" t="s">
        <v>1</v>
      </c>
    </row>
    <row r="11" spans="1:12" x14ac:dyDescent="0.3">
      <c r="A11" t="s">
        <v>90</v>
      </c>
    </row>
    <row r="13" spans="1:12" x14ac:dyDescent="0.3">
      <c r="A13" t="s">
        <v>91</v>
      </c>
    </row>
    <row r="15" spans="1:12" ht="17.399999999999999" customHeight="1" x14ac:dyDescent="0.35">
      <c r="A15" t="s">
        <v>81</v>
      </c>
      <c r="D15" s="62"/>
    </row>
  </sheetData>
  <mergeCells count="1">
    <mergeCell ref="A5:L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09BE2-D5BE-4E66-A6B7-64C6B8FA99E1}">
  <dimension ref="A1:AE60"/>
  <sheetViews>
    <sheetView tabSelected="1" topLeftCell="A22" workbookViewId="0">
      <selection activeCell="C45" sqref="C45"/>
    </sheetView>
  </sheetViews>
  <sheetFormatPr baseColWidth="10" defaultColWidth="11.44140625" defaultRowHeight="14.4" x14ac:dyDescent="0.3"/>
  <cols>
    <col min="1" max="1" width="13" bestFit="1" customWidth="1"/>
    <col min="2" max="2" width="10" customWidth="1"/>
    <col min="3" max="3" width="8.5546875" customWidth="1"/>
    <col min="4" max="4" width="9.44140625" bestFit="1" customWidth="1"/>
    <col min="5" max="5" width="3.88671875" bestFit="1" customWidth="1"/>
    <col min="6" max="6" width="6" bestFit="1" customWidth="1"/>
    <col min="7" max="7" width="4" bestFit="1" customWidth="1"/>
    <col min="8" max="9" width="12.5546875" customWidth="1"/>
    <col min="10" max="10" width="6.88671875" customWidth="1"/>
    <col min="11" max="11" width="30.109375" bestFit="1" customWidth="1"/>
    <col min="12" max="12" width="18.33203125" customWidth="1"/>
    <col min="13" max="13" width="24.33203125" customWidth="1"/>
    <col min="14" max="14" width="22" customWidth="1"/>
    <col min="15" max="15" width="19.109375" customWidth="1"/>
    <col min="16" max="16" width="29.88671875" customWidth="1"/>
    <col min="17" max="17" width="16.6640625" bestFit="1" customWidth="1"/>
    <col min="18" max="18" width="24.33203125" bestFit="1" customWidth="1"/>
    <col min="22" max="22" width="10.109375" customWidth="1"/>
    <col min="23" max="23" width="9.109375" customWidth="1"/>
    <col min="24" max="24" width="9.6640625" customWidth="1"/>
  </cols>
  <sheetData>
    <row r="1" spans="1:31" ht="28.8" x14ac:dyDescent="0.3">
      <c r="A1" s="12" t="s">
        <v>2</v>
      </c>
      <c r="B1" s="12" t="s">
        <v>3</v>
      </c>
      <c r="C1" s="12" t="s">
        <v>4</v>
      </c>
      <c r="D1" s="12" t="s">
        <v>5</v>
      </c>
      <c r="E1" s="12" t="s">
        <v>6</v>
      </c>
      <c r="F1" s="12" t="s">
        <v>7</v>
      </c>
      <c r="G1" s="12" t="s">
        <v>8</v>
      </c>
      <c r="H1" s="12" t="s">
        <v>9</v>
      </c>
      <c r="I1" s="12" t="s">
        <v>10</v>
      </c>
      <c r="J1" s="82"/>
      <c r="K1" s="83"/>
      <c r="L1" s="12" t="s">
        <v>79</v>
      </c>
      <c r="M1" s="12" t="s">
        <v>86</v>
      </c>
      <c r="N1" s="81" t="s">
        <v>85</v>
      </c>
      <c r="O1" s="81" t="s">
        <v>87</v>
      </c>
      <c r="P1" s="84" t="str">
        <f>IF(AND(ISNUMBER(O2),OR(N2&gt;3000,O2&gt;40000)),"Importe máx. subvencionable (€)","")</f>
        <v/>
      </c>
    </row>
    <row r="2" spans="1:31" x14ac:dyDescent="0.3">
      <c r="A2" s="77"/>
      <c r="B2" s="77"/>
      <c r="C2" s="77"/>
      <c r="D2" s="77"/>
      <c r="E2" s="77"/>
      <c r="F2" s="77"/>
      <c r="G2" s="77"/>
      <c r="H2" s="78"/>
      <c r="I2" s="79">
        <f>IF(ISERROR(H2*$D$47),H2*$D$48,H2*$D$47)</f>
        <v>0</v>
      </c>
      <c r="J2" s="26"/>
      <c r="K2" s="17" t="s">
        <v>80</v>
      </c>
      <c r="L2" s="52">
        <f>SUM(H2:H17)</f>
        <v>0</v>
      </c>
      <c r="M2" s="27" t="s">
        <v>78</v>
      </c>
      <c r="N2" s="52" t="str">
        <f>IF(M2 = "Indica la pendiente","&lt;-- Rellena la pendiente!",IF(D47="Supera importe unitario",SUM(D20:D46),D47))</f>
        <v>&lt;-- Rellena la pendiente!</v>
      </c>
      <c r="O2" s="52" t="str">
        <f>IF(M2="Indica la pendiente","",SUM(I2:I17))</f>
        <v/>
      </c>
      <c r="P2" s="26" t="str">
        <f>IF(ISNUMBER(O2),IF(O2&gt;40000,40000,IF(N2&gt;3000,IF((L2*3000)&gt;40000,40000,L2*3000),"")),"")</f>
        <v/>
      </c>
    </row>
    <row r="3" spans="1:31" ht="60.75" customHeight="1" x14ac:dyDescent="0.3">
      <c r="A3" s="77"/>
      <c r="B3" s="77"/>
      <c r="C3" s="77"/>
      <c r="D3" s="77"/>
      <c r="E3" s="77"/>
      <c r="F3" s="77"/>
      <c r="G3" s="77"/>
      <c r="H3" s="78"/>
      <c r="I3" s="79">
        <f t="shared" ref="I3:I17" si="0">IF(ISERROR(H3*$D$47),H3*$D$48,H3*$D$47)</f>
        <v>0</v>
      </c>
      <c r="J3" s="26"/>
      <c r="K3" s="74"/>
      <c r="L3" s="75"/>
      <c r="M3" s="76"/>
      <c r="N3" s="85" t="str">
        <f>IF(D47&gt;3000,"El importe máximo subvencionable por hectárea será de 3.000 €","")</f>
        <v/>
      </c>
      <c r="O3" s="85" t="str">
        <f>IF(AND(ISNUMBER(O2),O2&gt;40000), "El importe máximo subvencionable será 40.000 €","")</f>
        <v/>
      </c>
      <c r="P3" s="86" t="str">
        <f>IF(ISNUMBER(P2),"Este sería, en todo caso, el importe máximo subvencionable para esta zona con los datos indicados en esta memoria","")</f>
        <v/>
      </c>
    </row>
    <row r="4" spans="1:31" x14ac:dyDescent="0.3">
      <c r="A4" s="77"/>
      <c r="B4" s="77"/>
      <c r="C4" s="77"/>
      <c r="D4" s="77"/>
      <c r="E4" s="77"/>
      <c r="F4" s="77"/>
      <c r="G4" s="77"/>
      <c r="H4" s="78"/>
      <c r="I4" s="79">
        <f t="shared" si="0"/>
        <v>0</v>
      </c>
      <c r="J4" s="26"/>
      <c r="M4" s="28"/>
      <c r="O4" s="67" t="str">
        <f>IF(O2 = "Supera el importe máximo por persona beneficiaria",SUM(I2:I17),"")</f>
        <v/>
      </c>
      <c r="P4" s="26"/>
      <c r="R4" s="26"/>
    </row>
    <row r="5" spans="1:31" x14ac:dyDescent="0.3">
      <c r="A5" s="77"/>
      <c r="B5" s="77"/>
      <c r="C5" s="77"/>
      <c r="D5" s="77"/>
      <c r="E5" s="77"/>
      <c r="F5" s="77"/>
      <c r="G5" s="77"/>
      <c r="H5" s="78"/>
      <c r="I5" s="79">
        <f t="shared" si="0"/>
        <v>0</v>
      </c>
      <c r="J5" s="26"/>
      <c r="K5" s="34" t="s">
        <v>11</v>
      </c>
      <c r="L5" s="29" t="s">
        <v>12</v>
      </c>
      <c r="M5" s="29" t="s">
        <v>13</v>
      </c>
      <c r="N5" s="91"/>
      <c r="O5" s="91"/>
      <c r="P5" s="26"/>
      <c r="Q5" s="26"/>
      <c r="R5" s="26"/>
    </row>
    <row r="6" spans="1:31" x14ac:dyDescent="0.3">
      <c r="A6" s="77"/>
      <c r="B6" s="77"/>
      <c r="C6" s="77"/>
      <c r="D6" s="77"/>
      <c r="E6" s="77"/>
      <c r="F6" s="77"/>
      <c r="G6" s="77"/>
      <c r="H6" s="78"/>
      <c r="I6" s="79">
        <f t="shared" si="0"/>
        <v>0</v>
      </c>
      <c r="J6" s="26"/>
      <c r="K6" s="38" t="s">
        <v>14</v>
      </c>
      <c r="L6" s="25"/>
      <c r="M6" s="18"/>
      <c r="N6" t="str">
        <f>IF((SUM(L27:N27)+SUM(L43:Q43))&gt;M6,"ERROR","")</f>
        <v/>
      </c>
      <c r="O6" t="str">
        <f>IF(N6="ERROR",SUM(L27:N27,L43:Q43)-M6,"")</f>
        <v/>
      </c>
      <c r="P6" s="26"/>
      <c r="Q6" s="26"/>
      <c r="R6" s="26"/>
      <c r="U6" s="16"/>
    </row>
    <row r="7" spans="1:31" x14ac:dyDescent="0.3">
      <c r="A7" s="77"/>
      <c r="B7" s="77"/>
      <c r="C7" s="77"/>
      <c r="D7" s="77"/>
      <c r="E7" s="77"/>
      <c r="F7" s="77"/>
      <c r="G7" s="77"/>
      <c r="H7" s="78"/>
      <c r="I7" s="79">
        <f t="shared" si="0"/>
        <v>0</v>
      </c>
      <c r="J7" s="26"/>
      <c r="K7" s="38" t="s">
        <v>15</v>
      </c>
      <c r="L7" s="25"/>
      <c r="M7" s="18"/>
      <c r="N7" t="str">
        <f>IF((SUM(L28:N28)+SUM(L44:Q44))&gt;M7,"ERROR","")</f>
        <v/>
      </c>
      <c r="O7" t="str">
        <f>IF(N7="ERROR",SUM(L28:N28,L44:Q44)-M7,"")</f>
        <v/>
      </c>
      <c r="P7" s="26"/>
      <c r="Q7" s="26"/>
      <c r="R7" s="26"/>
      <c r="U7" s="16"/>
    </row>
    <row r="8" spans="1:31" x14ac:dyDescent="0.3">
      <c r="A8" s="77"/>
      <c r="B8" s="77"/>
      <c r="C8" s="77"/>
      <c r="D8" s="77"/>
      <c r="E8" s="77"/>
      <c r="F8" s="77"/>
      <c r="G8" s="77"/>
      <c r="H8" s="78"/>
      <c r="I8" s="79">
        <f t="shared" si="0"/>
        <v>0</v>
      </c>
      <c r="J8" s="26"/>
      <c r="K8" s="38" t="s">
        <v>16</v>
      </c>
      <c r="L8" s="25"/>
      <c r="M8" s="18"/>
      <c r="N8" t="str">
        <f>IF((SUM(L29:N29)+SUM(L45:Q45))&gt;M8,"ERROR","")</f>
        <v/>
      </c>
      <c r="O8" t="str">
        <f>IF(N8="ERROR",SUM(L29:N29,L45:Q45)-M8,"")</f>
        <v/>
      </c>
      <c r="P8" s="26"/>
      <c r="Q8" s="26"/>
      <c r="R8" s="26"/>
      <c r="U8" s="16"/>
    </row>
    <row r="9" spans="1:31" x14ac:dyDescent="0.3">
      <c r="A9" s="77"/>
      <c r="B9" s="77"/>
      <c r="C9" s="77"/>
      <c r="D9" s="77"/>
      <c r="E9" s="77"/>
      <c r="F9" s="77"/>
      <c r="G9" s="77"/>
      <c r="H9" s="78"/>
      <c r="I9" s="79">
        <f t="shared" si="0"/>
        <v>0</v>
      </c>
      <c r="J9" s="26"/>
      <c r="K9" s="38" t="s">
        <v>17</v>
      </c>
      <c r="L9" s="25"/>
      <c r="M9" s="18"/>
      <c r="N9" t="str">
        <f>IF((SUM(L30:N30)+SUM(L46:Q46))&gt;M9,"ERROR","")</f>
        <v/>
      </c>
      <c r="O9" t="str">
        <f>IF(N9="ERROR",SUM(L30:N30,L46:Q46)-M9,"")</f>
        <v/>
      </c>
      <c r="P9" s="26"/>
      <c r="Q9" s="26"/>
      <c r="R9" s="26"/>
      <c r="U9" s="16"/>
    </row>
    <row r="10" spans="1:31" x14ac:dyDescent="0.3">
      <c r="A10" s="77"/>
      <c r="B10" s="77"/>
      <c r="C10" s="77"/>
      <c r="D10" s="77"/>
      <c r="E10" s="77"/>
      <c r="F10" s="77"/>
      <c r="G10" s="77"/>
      <c r="H10" s="78"/>
      <c r="I10" s="79">
        <f t="shared" si="0"/>
        <v>0</v>
      </c>
      <c r="J10" s="26"/>
      <c r="K10" s="26"/>
      <c r="L10" s="26"/>
      <c r="M10" s="26"/>
      <c r="N10" s="26"/>
      <c r="P10" s="26"/>
      <c r="Q10" s="26"/>
      <c r="R10" s="26"/>
    </row>
    <row r="11" spans="1:31" x14ac:dyDescent="0.3">
      <c r="A11" s="77"/>
      <c r="B11" s="77"/>
      <c r="C11" s="77"/>
      <c r="D11" s="77"/>
      <c r="E11" s="77"/>
      <c r="F11" s="77"/>
      <c r="G11" s="77"/>
      <c r="H11" s="78"/>
      <c r="I11" s="79">
        <f t="shared" si="0"/>
        <v>0</v>
      </c>
      <c r="J11" s="26"/>
      <c r="K11" s="34" t="s">
        <v>18</v>
      </c>
      <c r="L11" s="29" t="s">
        <v>19</v>
      </c>
      <c r="M11" s="30"/>
      <c r="N11" s="26"/>
      <c r="P11" s="26"/>
      <c r="Q11" s="26"/>
      <c r="R11" s="26"/>
      <c r="T11" s="22"/>
      <c r="U11" s="22"/>
      <c r="V11" s="22"/>
      <c r="W11" s="22"/>
      <c r="X11" s="22"/>
      <c r="Y11" s="22"/>
      <c r="Z11" s="22"/>
      <c r="AA11" s="22"/>
      <c r="AB11" s="22"/>
      <c r="AC11" s="22"/>
      <c r="AD11" s="22"/>
      <c r="AE11" s="22"/>
    </row>
    <row r="12" spans="1:31" x14ac:dyDescent="0.3">
      <c r="A12" s="77"/>
      <c r="B12" s="77"/>
      <c r="C12" s="77"/>
      <c r="D12" s="77"/>
      <c r="E12" s="77"/>
      <c r="F12" s="77"/>
      <c r="G12" s="77"/>
      <c r="H12" s="78"/>
      <c r="I12" s="79">
        <f t="shared" si="0"/>
        <v>0</v>
      </c>
      <c r="J12" s="26"/>
      <c r="K12" s="38" t="s">
        <v>20</v>
      </c>
      <c r="L12" s="13"/>
      <c r="N12" s="63" t="str">
        <f>IF(M12="ERROR",(L23+M23)-(L12*L13),"")</f>
        <v/>
      </c>
      <c r="P12" s="26"/>
      <c r="Q12" s="26"/>
      <c r="R12" s="26"/>
      <c r="T12" s="22"/>
      <c r="U12" s="22"/>
      <c r="V12" s="22"/>
      <c r="W12" s="22"/>
      <c r="X12" s="22"/>
      <c r="Y12" s="22"/>
      <c r="Z12" s="22"/>
      <c r="AA12" s="22"/>
      <c r="AB12" s="22"/>
      <c r="AC12" s="22"/>
      <c r="AD12" s="22"/>
      <c r="AE12" s="22"/>
    </row>
    <row r="13" spans="1:31" x14ac:dyDescent="0.3">
      <c r="A13" s="77"/>
      <c r="B13" s="77"/>
      <c r="C13" s="77"/>
      <c r="D13" s="77"/>
      <c r="E13" s="77"/>
      <c r="F13" s="77"/>
      <c r="G13" s="77"/>
      <c r="H13" s="78"/>
      <c r="I13" s="79">
        <f t="shared" si="0"/>
        <v>0</v>
      </c>
      <c r="J13" s="26"/>
      <c r="K13" s="38" t="s">
        <v>21</v>
      </c>
      <c r="L13" s="13"/>
      <c r="M13" s="31"/>
      <c r="N13" s="26"/>
      <c r="P13" s="26"/>
      <c r="Q13" s="26"/>
      <c r="R13" s="26"/>
      <c r="T13" s="22"/>
      <c r="U13" s="22"/>
      <c r="V13" s="22"/>
      <c r="W13" s="22"/>
      <c r="X13" s="22"/>
      <c r="Y13" s="22"/>
      <c r="Z13" s="22"/>
      <c r="AA13" s="22"/>
      <c r="AB13" s="22"/>
      <c r="AC13" s="22"/>
      <c r="AD13" s="22"/>
      <c r="AE13" s="22"/>
    </row>
    <row r="14" spans="1:31" x14ac:dyDescent="0.3">
      <c r="A14" s="77"/>
      <c r="B14" s="77"/>
      <c r="C14" s="77"/>
      <c r="D14" s="77"/>
      <c r="E14" s="77"/>
      <c r="F14" s="77"/>
      <c r="G14" s="77"/>
      <c r="H14" s="78"/>
      <c r="I14" s="79">
        <f t="shared" si="0"/>
        <v>0</v>
      </c>
      <c r="J14" s="26"/>
      <c r="M14" s="26"/>
      <c r="N14" s="26"/>
      <c r="P14" s="26"/>
      <c r="Q14" s="26"/>
      <c r="R14" s="26"/>
      <c r="T14" s="22"/>
      <c r="U14" s="22"/>
      <c r="V14" s="22"/>
      <c r="W14" s="22"/>
      <c r="X14" s="22"/>
      <c r="Y14" s="22"/>
      <c r="Z14" s="22"/>
      <c r="AA14" s="22"/>
      <c r="AB14" s="22"/>
      <c r="AC14" s="22"/>
      <c r="AD14" s="22"/>
      <c r="AE14" s="22"/>
    </row>
    <row r="15" spans="1:31" x14ac:dyDescent="0.3">
      <c r="A15" s="77"/>
      <c r="B15" s="77"/>
      <c r="C15" s="77"/>
      <c r="D15" s="77"/>
      <c r="E15" s="77"/>
      <c r="F15" s="77"/>
      <c r="G15" s="77"/>
      <c r="H15" s="78"/>
      <c r="I15" s="79">
        <f t="shared" si="0"/>
        <v>0</v>
      </c>
      <c r="J15" s="26"/>
      <c r="K15" s="26"/>
      <c r="L15" s="26"/>
      <c r="M15" s="26"/>
      <c r="N15" s="26"/>
      <c r="P15" s="26"/>
      <c r="Q15" s="26"/>
      <c r="R15" s="26"/>
      <c r="T15" s="22"/>
      <c r="U15" s="22"/>
      <c r="V15" s="22"/>
      <c r="W15" s="22"/>
      <c r="X15" s="22"/>
      <c r="Y15" s="22"/>
      <c r="Z15" s="22"/>
      <c r="AA15" s="22"/>
      <c r="AB15" s="22"/>
      <c r="AC15" s="22"/>
      <c r="AD15" s="22"/>
      <c r="AE15" s="22"/>
    </row>
    <row r="16" spans="1:31" x14ac:dyDescent="0.3">
      <c r="A16" s="77"/>
      <c r="B16" s="77"/>
      <c r="C16" s="77"/>
      <c r="D16" s="77"/>
      <c r="E16" s="77"/>
      <c r="F16" s="77"/>
      <c r="G16" s="77"/>
      <c r="H16" s="78"/>
      <c r="I16" s="79">
        <f t="shared" si="0"/>
        <v>0</v>
      </c>
      <c r="J16" s="26"/>
      <c r="K16" s="26"/>
      <c r="L16" s="26"/>
      <c r="M16" s="26"/>
      <c r="N16" s="26"/>
      <c r="P16" s="26"/>
      <c r="Q16" s="26"/>
      <c r="R16" s="26"/>
      <c r="T16" s="22"/>
      <c r="U16" s="22"/>
      <c r="V16" s="22"/>
      <c r="W16" s="22"/>
      <c r="X16" s="22"/>
      <c r="Y16" s="22"/>
      <c r="Z16" s="22"/>
      <c r="AA16" s="22"/>
      <c r="AB16" s="22"/>
      <c r="AC16" s="22"/>
      <c r="AD16" s="22"/>
      <c r="AE16" s="22"/>
    </row>
    <row r="17" spans="1:31" x14ac:dyDescent="0.3">
      <c r="A17" s="77"/>
      <c r="B17" s="77"/>
      <c r="C17" s="77"/>
      <c r="D17" s="77"/>
      <c r="E17" s="77"/>
      <c r="F17" s="77"/>
      <c r="G17" s="77"/>
      <c r="H17" s="78"/>
      <c r="I17" s="79">
        <f t="shared" si="0"/>
        <v>0</v>
      </c>
      <c r="J17" s="26"/>
      <c r="K17" s="26"/>
      <c r="L17" s="26"/>
      <c r="M17" s="26"/>
      <c r="N17" s="26"/>
      <c r="P17" s="26"/>
      <c r="Q17" s="26"/>
      <c r="R17" s="26"/>
      <c r="T17" s="22"/>
      <c r="U17" s="22"/>
      <c r="V17" s="22"/>
      <c r="W17" s="22"/>
      <c r="X17" s="22"/>
      <c r="Y17" s="22"/>
      <c r="Z17" s="22"/>
      <c r="AA17" s="22"/>
      <c r="AB17" s="22"/>
      <c r="AC17" s="22"/>
      <c r="AD17" s="22"/>
      <c r="AE17" s="22"/>
    </row>
    <row r="19" spans="1:31" x14ac:dyDescent="0.3">
      <c r="A19" s="12" t="s">
        <v>22</v>
      </c>
      <c r="B19" s="12" t="s">
        <v>23</v>
      </c>
      <c r="C19" s="12" t="s">
        <v>24</v>
      </c>
      <c r="D19" s="12" t="s">
        <v>25</v>
      </c>
      <c r="K19" s="34" t="s">
        <v>93</v>
      </c>
      <c r="L19" s="5" t="s">
        <v>26</v>
      </c>
      <c r="M19" s="5" t="s">
        <v>27</v>
      </c>
      <c r="N19" s="32"/>
    </row>
    <row r="20" spans="1:31" x14ac:dyDescent="0.3">
      <c r="A20" s="44" t="s">
        <v>28</v>
      </c>
      <c r="B20" s="55">
        <f>+L20*L12</f>
        <v>0</v>
      </c>
      <c r="C20" s="45">
        <v>676.28</v>
      </c>
      <c r="D20" s="45">
        <f>B20*C20</f>
        <v>0</v>
      </c>
      <c r="K20" s="6" t="s">
        <v>29</v>
      </c>
      <c r="L20" s="69"/>
      <c r="M20" s="92"/>
      <c r="N20" s="32"/>
    </row>
    <row r="21" spans="1:31" x14ac:dyDescent="0.3">
      <c r="A21" s="44" t="s">
        <v>30</v>
      </c>
      <c r="B21" s="55">
        <f>+L21*L12</f>
        <v>0</v>
      </c>
      <c r="C21" s="45">
        <v>1168.1199999999999</v>
      </c>
      <c r="D21" s="45">
        <f t="shared" ref="D21:D46" si="1">B21*C21</f>
        <v>0</v>
      </c>
      <c r="K21" s="6" t="s">
        <v>31</v>
      </c>
      <c r="L21" s="68"/>
      <c r="M21" s="92"/>
    </row>
    <row r="22" spans="1:31" x14ac:dyDescent="0.3">
      <c r="A22" s="44" t="s">
        <v>32</v>
      </c>
      <c r="B22" s="55">
        <f>L22*L12</f>
        <v>0</v>
      </c>
      <c r="C22" s="45">
        <v>2030.96</v>
      </c>
      <c r="D22" s="45">
        <f t="shared" si="1"/>
        <v>0</v>
      </c>
      <c r="K22" s="6" t="s">
        <v>33</v>
      </c>
      <c r="L22" s="68"/>
      <c r="M22" s="92"/>
    </row>
    <row r="23" spans="1:31" x14ac:dyDescent="0.3">
      <c r="A23" s="46" t="s">
        <v>34</v>
      </c>
      <c r="B23" s="56">
        <f>IF(M2="Pte. menor o igual al 10%",M23*L12,0)</f>
        <v>0</v>
      </c>
      <c r="C23" s="47">
        <v>625.52</v>
      </c>
      <c r="D23" s="47">
        <f t="shared" si="1"/>
        <v>0</v>
      </c>
      <c r="K23" s="6" t="s">
        <v>35</v>
      </c>
      <c r="L23" s="7">
        <f>SUM(L20:L22)</f>
        <v>0</v>
      </c>
      <c r="M23" s="7">
        <f>M20</f>
        <v>0</v>
      </c>
      <c r="N23" t="str">
        <f>+IF(SUM(L23:M23)&gt;L13,"ERROR","")</f>
        <v/>
      </c>
    </row>
    <row r="24" spans="1:31" x14ac:dyDescent="0.3">
      <c r="A24" s="46" t="s">
        <v>36</v>
      </c>
      <c r="B24" s="56">
        <f>IF(M2="Pte. entre el 10-20%",M23*L12,0)</f>
        <v>0</v>
      </c>
      <c r="C24" s="47">
        <v>972.19</v>
      </c>
      <c r="D24" s="47">
        <f t="shared" si="1"/>
        <v>0</v>
      </c>
    </row>
    <row r="25" spans="1:31" x14ac:dyDescent="0.3">
      <c r="A25" s="46" t="s">
        <v>37</v>
      </c>
      <c r="B25" s="56">
        <f>IF(M2="Pte. igual o superior al 20%",M23*L12,0)</f>
        <v>0</v>
      </c>
      <c r="C25" s="47">
        <v>1077.7</v>
      </c>
      <c r="D25" s="47">
        <f t="shared" si="1"/>
        <v>0</v>
      </c>
      <c r="K25" s="35" t="s">
        <v>94</v>
      </c>
    </row>
    <row r="26" spans="1:31" x14ac:dyDescent="0.3">
      <c r="A26" s="14" t="s">
        <v>38</v>
      </c>
      <c r="B26" s="60">
        <f>L31</f>
        <v>0</v>
      </c>
      <c r="C26" s="2">
        <v>0.24</v>
      </c>
      <c r="D26" s="2">
        <f t="shared" si="1"/>
        <v>0</v>
      </c>
      <c r="K26" s="5" t="s">
        <v>12</v>
      </c>
      <c r="L26" s="5" t="s">
        <v>39</v>
      </c>
      <c r="M26" s="8" t="s">
        <v>40</v>
      </c>
      <c r="N26" s="5" t="s">
        <v>41</v>
      </c>
    </row>
    <row r="27" spans="1:31" x14ac:dyDescent="0.3">
      <c r="A27" s="14" t="s">
        <v>42</v>
      </c>
      <c r="B27" s="60">
        <f>M31</f>
        <v>0</v>
      </c>
      <c r="C27" s="2">
        <v>0.41</v>
      </c>
      <c r="D27" s="2">
        <f t="shared" si="1"/>
        <v>0</v>
      </c>
      <c r="K27" s="4">
        <v>1</v>
      </c>
      <c r="L27" s="18"/>
      <c r="M27" s="18"/>
      <c r="N27" s="18"/>
    </row>
    <row r="28" spans="1:31" x14ac:dyDescent="0.3">
      <c r="A28" s="14" t="s">
        <v>43</v>
      </c>
      <c r="B28" s="60">
        <f>N31</f>
        <v>0</v>
      </c>
      <c r="C28" s="2">
        <v>0.59</v>
      </c>
      <c r="D28" s="2">
        <f t="shared" si="1"/>
        <v>0</v>
      </c>
      <c r="K28" s="9">
        <v>2</v>
      </c>
      <c r="L28" s="18"/>
      <c r="M28" s="18"/>
      <c r="N28" s="18"/>
    </row>
    <row r="29" spans="1:31" x14ac:dyDescent="0.3">
      <c r="A29" s="15" t="s">
        <v>44</v>
      </c>
      <c r="B29" s="57">
        <f>IF(AND(L39&gt;=6000,ISNUMBER(M39)),M39,0)</f>
        <v>0</v>
      </c>
      <c r="C29" s="3">
        <v>2200</v>
      </c>
      <c r="D29" s="3">
        <f t="shared" si="1"/>
        <v>0</v>
      </c>
      <c r="K29" s="4">
        <v>3</v>
      </c>
      <c r="L29" s="18"/>
      <c r="M29" s="18"/>
      <c r="N29" s="18"/>
    </row>
    <row r="30" spans="1:31" x14ac:dyDescent="0.3">
      <c r="A30" s="15" t="s">
        <v>45</v>
      </c>
      <c r="B30" s="57">
        <f>IF(AND(L39&gt;=3000,L39&lt;6000,ISNUMBER(M39)),M39,0)</f>
        <v>0</v>
      </c>
      <c r="C30" s="3">
        <v>1400</v>
      </c>
      <c r="D30" s="3">
        <f t="shared" si="1"/>
        <v>0</v>
      </c>
      <c r="K30" s="4">
        <v>4</v>
      </c>
      <c r="L30" s="18"/>
      <c r="M30" s="18"/>
      <c r="N30" s="18"/>
    </row>
    <row r="31" spans="1:31" x14ac:dyDescent="0.3">
      <c r="A31" s="15" t="s">
        <v>46</v>
      </c>
      <c r="B31" s="57">
        <f>IF(AND(L39&gt;=1000,L39&lt;3000,ISNUMBER(M39)),M39,0)</f>
        <v>0</v>
      </c>
      <c r="C31" s="3">
        <v>1100</v>
      </c>
      <c r="D31" s="3">
        <f t="shared" si="1"/>
        <v>0</v>
      </c>
      <c r="K31" s="38" t="s">
        <v>35</v>
      </c>
      <c r="L31" s="21">
        <f>SUM(L27:L30)</f>
        <v>0</v>
      </c>
      <c r="M31" s="21">
        <f>SUM(M27:M30)</f>
        <v>0</v>
      </c>
      <c r="N31" s="21">
        <f>SUM(N27:N30)</f>
        <v>0</v>
      </c>
    </row>
    <row r="32" spans="1:31" x14ac:dyDescent="0.3">
      <c r="A32" s="23" t="s">
        <v>47</v>
      </c>
      <c r="B32" s="61">
        <f>L47</f>
        <v>0</v>
      </c>
      <c r="C32" s="24">
        <v>0.66</v>
      </c>
      <c r="D32" s="24">
        <f t="shared" si="1"/>
        <v>0</v>
      </c>
      <c r="J32" s="33"/>
    </row>
    <row r="33" spans="1:31" x14ac:dyDescent="0.3">
      <c r="A33" s="23" t="s">
        <v>48</v>
      </c>
      <c r="B33" s="61">
        <f>M47</f>
        <v>0</v>
      </c>
      <c r="C33" s="24">
        <v>0.9</v>
      </c>
      <c r="D33" s="24">
        <f t="shared" si="1"/>
        <v>0</v>
      </c>
      <c r="K33" s="35" t="s">
        <v>95</v>
      </c>
    </row>
    <row r="34" spans="1:31" x14ac:dyDescent="0.3">
      <c r="A34" s="23" t="s">
        <v>50</v>
      </c>
      <c r="B34" s="61">
        <f>N47</f>
        <v>0</v>
      </c>
      <c r="C34" s="24">
        <v>0.89</v>
      </c>
      <c r="D34" s="24">
        <f t="shared" si="1"/>
        <v>0</v>
      </c>
      <c r="K34" s="5" t="s">
        <v>12</v>
      </c>
      <c r="L34" s="5" t="s">
        <v>51</v>
      </c>
      <c r="M34" s="5" t="s">
        <v>71</v>
      </c>
    </row>
    <row r="35" spans="1:31" x14ac:dyDescent="0.3">
      <c r="A35" s="23" t="s">
        <v>52</v>
      </c>
      <c r="B35" s="61">
        <f>O47</f>
        <v>0</v>
      </c>
      <c r="C35" s="24">
        <v>1.43</v>
      </c>
      <c r="D35" s="24">
        <f t="shared" si="1"/>
        <v>0</v>
      </c>
      <c r="K35" s="4">
        <v>1</v>
      </c>
      <c r="L35" s="70" t="str">
        <f>IF(COUNTIF(L6,"Quercus*"),M6,"")</f>
        <v/>
      </c>
      <c r="M35" s="93"/>
    </row>
    <row r="36" spans="1:31" x14ac:dyDescent="0.3">
      <c r="A36" s="23" t="s">
        <v>53</v>
      </c>
      <c r="B36" s="61">
        <f>P47</f>
        <v>0</v>
      </c>
      <c r="C36" s="24">
        <v>2.29</v>
      </c>
      <c r="D36" s="24">
        <f t="shared" si="1"/>
        <v>0</v>
      </c>
      <c r="K36" s="4">
        <v>2</v>
      </c>
      <c r="L36" s="70" t="str">
        <f>IF(COUNTIF(L7,"Quercus*"),M7,"")</f>
        <v/>
      </c>
      <c r="M36" s="94"/>
    </row>
    <row r="37" spans="1:31" s="1" customFormat="1" ht="17.399999999999999" customHeight="1" x14ac:dyDescent="0.3">
      <c r="A37" s="23" t="s">
        <v>54</v>
      </c>
      <c r="B37" s="61">
        <f>+Q47</f>
        <v>0</v>
      </c>
      <c r="C37" s="24">
        <v>12.41</v>
      </c>
      <c r="D37" s="24">
        <f t="shared" si="1"/>
        <v>0</v>
      </c>
      <c r="E37"/>
      <c r="F37"/>
      <c r="G37"/>
      <c r="H37"/>
      <c r="I37"/>
      <c r="K37" s="4">
        <v>3</v>
      </c>
      <c r="L37" s="70" t="str">
        <f>IF(COUNTIF(L8,"Quercus*"),M8,"")</f>
        <v/>
      </c>
      <c r="M37" s="94"/>
      <c r="N37"/>
      <c r="O37"/>
      <c r="P37"/>
      <c r="V37"/>
      <c r="W37"/>
      <c r="X37"/>
      <c r="Y37"/>
      <c r="Z37"/>
      <c r="AA37"/>
      <c r="AB37"/>
      <c r="AC37"/>
      <c r="AD37"/>
      <c r="AE37"/>
    </row>
    <row r="38" spans="1:31" x14ac:dyDescent="0.3">
      <c r="A38" s="20" t="s">
        <v>56</v>
      </c>
      <c r="B38" s="58">
        <f>IF(E38="NO",0,IF(L55="",0,L55))</f>
        <v>0</v>
      </c>
      <c r="C38" s="19">
        <v>549.08000000000004</v>
      </c>
      <c r="D38" s="19">
        <f t="shared" ref="D38:D43" si="2">IF(E38="NO",0,B38*C38)</f>
        <v>0</v>
      </c>
      <c r="E38" s="48" t="str">
        <f>IF($L$54="SÍ",IF($M$2="Pte. menor o igual al 10%","","NO"),"NO")</f>
        <v>NO</v>
      </c>
      <c r="F38" s="48"/>
      <c r="G38" s="48"/>
      <c r="H38" s="48"/>
      <c r="I38" s="48"/>
      <c r="K38" s="4">
        <v>4</v>
      </c>
      <c r="L38" s="70" t="str">
        <f>IF(COUNTIF(L9,"Quercus*"),M9,"")</f>
        <v/>
      </c>
      <c r="M38" s="95"/>
    </row>
    <row r="39" spans="1:31" ht="28.8" x14ac:dyDescent="0.3">
      <c r="A39" s="20" t="s">
        <v>58</v>
      </c>
      <c r="B39" s="58">
        <f>IF(E39="NO",0,IF(L55 = "",0,L55))</f>
        <v>0</v>
      </c>
      <c r="C39" s="19">
        <v>564.98</v>
      </c>
      <c r="D39" s="19">
        <f t="shared" si="2"/>
        <v>0</v>
      </c>
      <c r="E39" s="48" t="str">
        <f>IF($L$54="SÍ",IF($M$2="Pte. entre el 10-20%","","NO"),"NO")</f>
        <v>NO</v>
      </c>
      <c r="F39" s="48"/>
      <c r="G39" s="48"/>
      <c r="H39" s="48"/>
      <c r="I39" s="48"/>
      <c r="K39" s="72" t="s">
        <v>35</v>
      </c>
      <c r="L39" s="71" t="str">
        <f>IF(SUM(L35:L38)&gt;=1000,SUM(L35:L38),"No puede aplicarse esta operación")</f>
        <v>No puede aplicarse esta operación</v>
      </c>
      <c r="M39" s="7" t="str">
        <f>IF(L39 = "No puede aplicarse esta operación","",IF(M35 = 0,"",M35))</f>
        <v/>
      </c>
    </row>
    <row r="40" spans="1:31" x14ac:dyDescent="0.3">
      <c r="A40" s="20" t="s">
        <v>59</v>
      </c>
      <c r="B40" s="58">
        <f>IF(E40="NO",0,IF(L55 = "",0,L55))</f>
        <v>0</v>
      </c>
      <c r="C40" s="19">
        <v>581.94000000000005</v>
      </c>
      <c r="D40" s="19">
        <f t="shared" si="2"/>
        <v>0</v>
      </c>
      <c r="E40" s="48" t="str">
        <f>IF($L$54="SÍ",IF($M$2="Pte. igual o superior al 20%","","NO"),"NO")</f>
        <v>NO</v>
      </c>
      <c r="F40" s="48"/>
      <c r="G40" s="48"/>
      <c r="H40" s="48"/>
      <c r="I40" s="48"/>
    </row>
    <row r="41" spans="1:31" x14ac:dyDescent="0.3">
      <c r="A41" s="42" t="s">
        <v>60</v>
      </c>
      <c r="B41" s="59">
        <f>IF(E41="NO",0,IF(M55 = "",0,M55))</f>
        <v>0</v>
      </c>
      <c r="C41" s="43">
        <v>1099.22</v>
      </c>
      <c r="D41" s="43">
        <f t="shared" si="2"/>
        <v>0</v>
      </c>
      <c r="E41" s="48" t="str">
        <f>IF($M$54="SÍ",IF($M$2="Pte. menor o igual al 10%","","NO"),"NO")</f>
        <v>NO</v>
      </c>
      <c r="F41" s="48"/>
      <c r="G41" s="48"/>
      <c r="H41" s="48"/>
      <c r="I41" s="48"/>
      <c r="K41" s="35" t="s">
        <v>96</v>
      </c>
    </row>
    <row r="42" spans="1:31" x14ac:dyDescent="0.3">
      <c r="A42" s="42" t="s">
        <v>61</v>
      </c>
      <c r="B42" s="59">
        <f>IF(E42="NO",0,IF(M55 = "",0,M55))</f>
        <v>0</v>
      </c>
      <c r="C42" s="43">
        <v>1129.96</v>
      </c>
      <c r="D42" s="43">
        <f t="shared" si="2"/>
        <v>0</v>
      </c>
      <c r="E42" s="48" t="str">
        <f>IF($M$54="SÍ",IF($M$2="Pte. entre el 10-20%","","NO"),"NO")</f>
        <v>NO</v>
      </c>
      <c r="F42" s="48"/>
      <c r="G42" s="48"/>
      <c r="H42" s="48"/>
      <c r="I42" s="48"/>
      <c r="K42" s="37" t="s">
        <v>12</v>
      </c>
      <c r="L42" s="37" t="s">
        <v>72</v>
      </c>
      <c r="M42" s="37" t="s">
        <v>73</v>
      </c>
      <c r="N42" s="37" t="s">
        <v>74</v>
      </c>
      <c r="O42" s="37" t="s">
        <v>75</v>
      </c>
      <c r="P42" s="37" t="s">
        <v>76</v>
      </c>
      <c r="Q42" s="37" t="s">
        <v>57</v>
      </c>
    </row>
    <row r="43" spans="1:31" x14ac:dyDescent="0.3">
      <c r="A43" s="42" t="s">
        <v>62</v>
      </c>
      <c r="B43" s="59">
        <f>IF(E43="NO",0,IF(M55 = "",0,M55))</f>
        <v>0</v>
      </c>
      <c r="C43" s="43">
        <v>1162.82</v>
      </c>
      <c r="D43" s="43">
        <f t="shared" si="2"/>
        <v>0</v>
      </c>
      <c r="E43" s="48" t="str">
        <f>IF($M$54="SÍ",IF($M$2="Pte. igual o superior al 20%","","NO"),"NO")</f>
        <v>NO</v>
      </c>
      <c r="F43" s="48"/>
      <c r="G43" s="48"/>
      <c r="H43" s="48"/>
      <c r="I43" s="48"/>
      <c r="K43" s="4">
        <v>1</v>
      </c>
      <c r="L43" s="18"/>
      <c r="M43" s="18"/>
      <c r="N43" s="18"/>
      <c r="O43" s="18"/>
      <c r="P43" s="18"/>
      <c r="Q43" s="18"/>
    </row>
    <row r="44" spans="1:31" ht="14.4" customHeight="1" x14ac:dyDescent="0.3">
      <c r="A44" s="15" t="s">
        <v>63</v>
      </c>
      <c r="B44" s="57">
        <f>IF(E44="NO",0,IF(L59="",0,IF($M$2="Pte. menor o igual al 10%",L59)))</f>
        <v>0</v>
      </c>
      <c r="C44" s="3">
        <v>348.74</v>
      </c>
      <c r="D44" s="3">
        <f t="shared" si="1"/>
        <v>0</v>
      </c>
      <c r="E44" s="48" t="str">
        <f>IF(L58="SÍ",IF($M$2="Pte. menor o igual al 10%","","NO"),"NO")</f>
        <v>NO</v>
      </c>
      <c r="F44" s="48"/>
      <c r="G44" s="48"/>
      <c r="H44" s="48"/>
      <c r="I44" s="48"/>
      <c r="K44" s="4">
        <v>2</v>
      </c>
      <c r="L44" s="18"/>
      <c r="M44" s="18"/>
      <c r="N44" s="18"/>
      <c r="O44" s="18"/>
      <c r="P44" s="18"/>
      <c r="Q44" s="18"/>
    </row>
    <row r="45" spans="1:31" x14ac:dyDescent="0.3">
      <c r="A45" s="15" t="s">
        <v>64</v>
      </c>
      <c r="B45" s="57">
        <f>IF(E45="NO",0,IF(L59="",0,IF($M$2="Pte. entre el 10-20%",L59)))</f>
        <v>0</v>
      </c>
      <c r="C45" s="3">
        <v>505.62</v>
      </c>
      <c r="D45" s="3">
        <f t="shared" si="1"/>
        <v>0</v>
      </c>
      <c r="E45" s="48" t="str">
        <f>IF(L58="SÍ",IF($M$2="Pte. entre el 10-20%","","NO"),"NO")</f>
        <v>NO</v>
      </c>
      <c r="F45" s="48"/>
      <c r="G45" s="48"/>
      <c r="H45" s="48"/>
      <c r="I45" s="48"/>
      <c r="K45" s="4">
        <v>3</v>
      </c>
      <c r="L45" s="18"/>
      <c r="M45" s="18"/>
      <c r="N45" s="18"/>
      <c r="O45" s="18"/>
      <c r="P45" s="18"/>
      <c r="Q45" s="18"/>
    </row>
    <row r="46" spans="1:31" x14ac:dyDescent="0.3">
      <c r="A46" s="15" t="s">
        <v>68</v>
      </c>
      <c r="B46" s="57">
        <f>IF(E46="NO",0,IF($M$2="Pte. igual o superior al 20%",L59))</f>
        <v>0</v>
      </c>
      <c r="C46" s="3">
        <v>707.02</v>
      </c>
      <c r="D46" s="3">
        <f t="shared" si="1"/>
        <v>0</v>
      </c>
      <c r="E46" s="73" t="str">
        <f>IF(L58="SÍ",IF($M$2="Pte. igual o superior al 20%","","NO"),"NO")</f>
        <v>NO</v>
      </c>
      <c r="F46" s="48"/>
      <c r="G46" s="48"/>
      <c r="H46" s="48"/>
      <c r="I46" s="48"/>
      <c r="K46" s="4">
        <v>4</v>
      </c>
      <c r="L46" s="18"/>
      <c r="M46" s="18"/>
      <c r="N46" s="18"/>
      <c r="O46" s="18"/>
      <c r="P46" s="18"/>
      <c r="Q46" s="18"/>
    </row>
    <row r="47" spans="1:31" x14ac:dyDescent="0.3">
      <c r="A47" s="32"/>
      <c r="C47" s="39" t="s">
        <v>35</v>
      </c>
      <c r="D47" s="49">
        <f>IF(SUM(D20:D46)&lt;=3000,SUM(D20:D46),"Supera importe unitario")</f>
        <v>0</v>
      </c>
      <c r="K47" s="38" t="s">
        <v>35</v>
      </c>
      <c r="L47" s="21">
        <f>SUM(L43:L46)</f>
        <v>0</v>
      </c>
      <c r="M47" s="21">
        <f t="shared" ref="M47:Q47" si="3">SUM(M43:M46)</f>
        <v>0</v>
      </c>
      <c r="N47" s="21">
        <f t="shared" si="3"/>
        <v>0</v>
      </c>
      <c r="O47" s="21">
        <f t="shared" si="3"/>
        <v>0</v>
      </c>
      <c r="P47" s="21">
        <f t="shared" si="3"/>
        <v>0</v>
      </c>
      <c r="Q47" s="21">
        <f t="shared" si="3"/>
        <v>0</v>
      </c>
    </row>
    <row r="48" spans="1:31" x14ac:dyDescent="0.3">
      <c r="D48" s="67" t="str">
        <f>IF(D47="Supera importe unitario",SUM(D20:D46),"")</f>
        <v/>
      </c>
    </row>
    <row r="49" spans="11:16" ht="46.95" customHeight="1" x14ac:dyDescent="0.3">
      <c r="K49" s="36" t="s">
        <v>97</v>
      </c>
      <c r="L49" s="10" t="s">
        <v>65</v>
      </c>
      <c r="M49" s="10" t="s">
        <v>66</v>
      </c>
      <c r="N49" s="11" t="s">
        <v>67</v>
      </c>
      <c r="O49" s="11" t="s">
        <v>49</v>
      </c>
      <c r="P49" s="11" t="s">
        <v>55</v>
      </c>
    </row>
    <row r="50" spans="11:16" x14ac:dyDescent="0.3">
      <c r="K50" s="38" t="s">
        <v>69</v>
      </c>
      <c r="L50" s="11" t="str">
        <f>IF(COUNTIF(B23:B25,"&gt; 0") &gt; 0,"SI","-")</f>
        <v>-</v>
      </c>
      <c r="M50" s="11" t="str">
        <f>IF(COUNTIF(B20:B22,"&gt; 0") &gt; 0,"SÍ","-")</f>
        <v>-</v>
      </c>
      <c r="N50" s="11" t="str">
        <f>IF(COUNTIF(B26:B28,"&gt; 0") &gt; 0,"SÍ","-")</f>
        <v>-</v>
      </c>
      <c r="O50" s="11" t="str">
        <f>IF(COUNTIF(B29:B31,"&gt; 0") &gt; 0,"SÍ","-")</f>
        <v>-</v>
      </c>
      <c r="P50" s="11" t="str">
        <f>IF(COUNTIF(B32:B37,"&gt; 0") &gt; 0,"SÍ","-")</f>
        <v>-</v>
      </c>
    </row>
    <row r="51" spans="11:16" ht="28.8" x14ac:dyDescent="0.3">
      <c r="K51" s="41" t="s">
        <v>70</v>
      </c>
      <c r="L51" s="66">
        <f>M23</f>
        <v>0</v>
      </c>
      <c r="M51" s="66">
        <f>L23*L12</f>
        <v>0</v>
      </c>
      <c r="N51" s="54"/>
      <c r="O51" s="66" t="str">
        <f>M39</f>
        <v/>
      </c>
      <c r="P51" s="54"/>
    </row>
    <row r="53" spans="11:16" ht="43.2" x14ac:dyDescent="0.3">
      <c r="L53" s="10" t="s">
        <v>82</v>
      </c>
      <c r="M53" s="10" t="s">
        <v>83</v>
      </c>
      <c r="N53" s="48"/>
      <c r="O53" s="48"/>
      <c r="P53" s="48"/>
    </row>
    <row r="54" spans="11:16" x14ac:dyDescent="0.3">
      <c r="L54" s="64" t="str">
        <f>IF(M54="SÍ","",IF(M54="",IF(COUNTIF(M50:P50,"SÍ")&gt;=1,"SÍ", "")))</f>
        <v/>
      </c>
      <c r="M54" s="11" t="str">
        <f>IF(COUNTIF(M51:P51,"&gt;= 30%")&gt;=2,"SÍ","")</f>
        <v/>
      </c>
      <c r="N54" s="48"/>
      <c r="O54" s="48"/>
      <c r="P54" s="48"/>
    </row>
    <row r="55" spans="11:16" ht="28.8" x14ac:dyDescent="0.3">
      <c r="K55" s="41" t="s">
        <v>77</v>
      </c>
      <c r="L55" s="54"/>
      <c r="M55" s="54"/>
      <c r="N55" s="48"/>
      <c r="O55" s="48"/>
      <c r="P55" s="48"/>
    </row>
    <row r="56" spans="11:16" x14ac:dyDescent="0.3">
      <c r="L56" s="48"/>
      <c r="M56" s="48"/>
      <c r="N56" s="48"/>
      <c r="O56" s="48"/>
      <c r="P56" s="48"/>
    </row>
    <row r="57" spans="11:16" x14ac:dyDescent="0.3">
      <c r="K57" s="40" t="s">
        <v>98</v>
      </c>
      <c r="L57" s="48"/>
      <c r="M57" s="48"/>
      <c r="N57" s="48"/>
      <c r="O57" s="48"/>
      <c r="P57" s="48"/>
    </row>
    <row r="58" spans="11:16" x14ac:dyDescent="0.3">
      <c r="K58" s="53" t="s">
        <v>84</v>
      </c>
      <c r="L58" s="11" t="str">
        <f>+IF(ISBLANK(L59),"-","SÍ")</f>
        <v>-</v>
      </c>
      <c r="M58" s="48"/>
      <c r="N58" s="48"/>
      <c r="O58" s="48"/>
      <c r="P58" s="48"/>
    </row>
    <row r="59" spans="11:16" ht="28.8" x14ac:dyDescent="0.3">
      <c r="K59" s="53" t="s">
        <v>99</v>
      </c>
      <c r="L59" s="65"/>
      <c r="M59" s="48"/>
      <c r="N59" s="48"/>
      <c r="O59" s="48"/>
      <c r="P59" s="48"/>
    </row>
    <row r="60" spans="11:16" x14ac:dyDescent="0.3">
      <c r="L60" s="80"/>
    </row>
  </sheetData>
  <mergeCells count="3">
    <mergeCell ref="N5:O5"/>
    <mergeCell ref="M20:M22"/>
    <mergeCell ref="M35:M38"/>
  </mergeCells>
  <conditionalFormatting sqref="N6:N9">
    <cfRule type="containsText" dxfId="58" priority="42" operator="containsText" text="ERROR">
      <formula>NOT(ISERROR(SEARCH("ERROR",N6)))</formula>
    </cfRule>
    <cfRule type="containsText" dxfId="57" priority="140" operator="containsText" text="ERROR">
      <formula>NOT(ISERROR(SEARCH("ERROR",N6)))</formula>
    </cfRule>
  </conditionalFormatting>
  <conditionalFormatting sqref="L50:P50 L54:M54 L58">
    <cfRule type="containsText" dxfId="56" priority="139" operator="containsText" text="SÍ">
      <formula>NOT(ISERROR(SEARCH("SÍ",L50)))</formula>
    </cfRule>
  </conditionalFormatting>
  <conditionalFormatting sqref="L58">
    <cfRule type="containsText" dxfId="55" priority="138" operator="containsText" text="SI">
      <formula>NOT(ISERROR(SEARCH("SI",L58)))</formula>
    </cfRule>
  </conditionalFormatting>
  <conditionalFormatting sqref="E38:I46">
    <cfRule type="containsText" dxfId="54" priority="134" operator="containsText" text="NO">
      <formula>NOT(ISERROR(SEARCH("NO",E38)))</formula>
    </cfRule>
  </conditionalFormatting>
  <conditionalFormatting sqref="K41:O42 Y1:XFD3 O1:P2 P4 N2 Q42 K43:Q47 P41:Q41 A50:I61 K6:O9 M11:N14 K11:L13 K19:N20 J32 K25:N31 S49:XFD1048576 R50 A19:I47 L58:L59 K57:L57 L54:M55 A18:J20 K19:Q19 K49:P51 W19:XFD35 O20:Q33 N40:Q40 N34:Q35 A62:J1048576 K66:P1048576 R61:R1048576 Q65:Q1048576 N36:P39 K21:L22 N21:N22 K23:N23 W40:XFD47 V36:XFD39 L34:L38 R4:XFD18 C1:M2 K4:M4 J4:J17 K5:N10 J3:P3 P5:Q17 K15:N17 C3:I17">
    <cfRule type="containsText" dxfId="53" priority="125" operator="containsText" text="&quot;NO&quot;">
      <formula>NOT(ISERROR(SEARCH("""NO""",A1)))</formula>
    </cfRule>
    <cfRule type="cellIs" dxfId="52" priority="126" operator="equal">
      <formula>"""NO"""</formula>
    </cfRule>
  </conditionalFormatting>
  <conditionalFormatting sqref="M4">
    <cfRule type="containsText" dxfId="51" priority="123" operator="containsText" text="&quot;NO&quot;">
      <formula>NOT(ISERROR(SEARCH("""NO""",M4)))</formula>
    </cfRule>
    <cfRule type="cellIs" dxfId="50" priority="124" operator="equal">
      <formula>"""NO"""</formula>
    </cfRule>
  </conditionalFormatting>
  <conditionalFormatting sqref="L54:M54">
    <cfRule type="containsText" dxfId="49" priority="118" operator="containsText" text="NO">
      <formula>NOT(ISERROR(SEARCH("NO",L54)))</formula>
    </cfRule>
  </conditionalFormatting>
  <conditionalFormatting sqref="L55">
    <cfRule type="expression" dxfId="48" priority="117">
      <formula>"CONTAR.SI(H44:J44;""SI"")&gt;=1"</formula>
    </cfRule>
  </conditionalFormatting>
  <conditionalFormatting sqref="P42">
    <cfRule type="containsText" dxfId="47" priority="77" operator="containsText" text="&quot;NO&quot;">
      <formula>NOT(ISERROR(SEARCH("""NO""",P42)))</formula>
    </cfRule>
    <cfRule type="cellIs" dxfId="46" priority="78" operator="equal">
      <formula>"""NO"""</formula>
    </cfRule>
  </conditionalFormatting>
  <conditionalFormatting sqref="P2:P17">
    <cfRule type="expression" dxfId="45" priority="220">
      <formula>#REF!="Se pasa"</formula>
    </cfRule>
  </conditionalFormatting>
  <conditionalFormatting sqref="Q5:Q17">
    <cfRule type="expression" dxfId="44" priority="283">
      <formula>#REF!="Se pasa"</formula>
    </cfRule>
  </conditionalFormatting>
  <conditionalFormatting sqref="N1">
    <cfRule type="containsText" dxfId="43" priority="73" operator="containsText" text="&quot;NO&quot;">
      <formula>NOT(ISERROR(SEARCH("""NO""",N1)))</formula>
    </cfRule>
    <cfRule type="cellIs" dxfId="42" priority="74" operator="equal">
      <formula>"""NO"""</formula>
    </cfRule>
  </conditionalFormatting>
  <conditionalFormatting sqref="O50">
    <cfRule type="containsText" dxfId="41" priority="72" operator="containsText" text="SI">
      <formula>NOT(ISERROR(SEARCH("SI",O50)))</formula>
    </cfRule>
  </conditionalFormatting>
  <conditionalFormatting sqref="M34">
    <cfRule type="containsText" dxfId="40" priority="66" operator="containsText" text="&quot;NO&quot;">
      <formula>NOT(ISERROR(SEARCH("""NO""",M34)))</formula>
    </cfRule>
    <cfRule type="cellIs" dxfId="39" priority="67" operator="equal">
      <formula>"""NO"""</formula>
    </cfRule>
  </conditionalFormatting>
  <conditionalFormatting sqref="K58">
    <cfRule type="containsText" dxfId="38" priority="58" operator="containsText" text="&quot;NO&quot;">
      <formula>NOT(ISERROR(SEARCH("""NO""",K58)))</formula>
    </cfRule>
    <cfRule type="cellIs" dxfId="37" priority="59" operator="equal">
      <formula>"""NO"""</formula>
    </cfRule>
  </conditionalFormatting>
  <conditionalFormatting sqref="E46:I46">
    <cfRule type="containsText" dxfId="36" priority="53" operator="containsText" text="Supera importe unitario">
      <formula>NOT(ISERROR(SEARCH("Supera importe unitario",E46)))</formula>
    </cfRule>
  </conditionalFormatting>
  <conditionalFormatting sqref="D47">
    <cfRule type="containsText" dxfId="35" priority="49" operator="containsText" text="Supera importe unitario">
      <formula>NOT(ISERROR(SEARCH("Supera importe unitario",D47)))</formula>
    </cfRule>
  </conditionalFormatting>
  <conditionalFormatting sqref="L53:M53">
    <cfRule type="containsText" dxfId="34" priority="46" operator="containsText" text="&quot;NO&quot;">
      <formula>NOT(ISERROR(SEARCH("""NO""",L53)))</formula>
    </cfRule>
    <cfRule type="cellIs" dxfId="33" priority="47" operator="equal">
      <formula>"""NO"""</formula>
    </cfRule>
  </conditionalFormatting>
  <conditionalFormatting sqref="L40">
    <cfRule type="containsText" dxfId="32" priority="45" operator="containsText" text="Densidad insuficiente">
      <formula>NOT(ISERROR(SEARCH("Densidad insuficiente",L40)))</formula>
    </cfRule>
  </conditionalFormatting>
  <conditionalFormatting sqref="N23">
    <cfRule type="containsText" dxfId="31" priority="43" operator="containsText" text="ERROR">
      <formula>NOT(ISERROR(SEARCH("ERROR",N23)))</formula>
    </cfRule>
    <cfRule type="cellIs" dxfId="30" priority="44" operator="greaterThan">
      <formula>"SUMA(H22:I22)&gt;H12"</formula>
    </cfRule>
  </conditionalFormatting>
  <conditionalFormatting sqref="K59">
    <cfRule type="containsText" dxfId="29" priority="40" operator="containsText" text="&quot;NO&quot;">
      <formula>NOT(ISERROR(SEARCH("""NO""",K59)))</formula>
    </cfRule>
    <cfRule type="cellIs" dxfId="28" priority="41" operator="equal">
      <formula>"""NO"""</formula>
    </cfRule>
  </conditionalFormatting>
  <conditionalFormatting sqref="A48:I48 S48:XFD48">
    <cfRule type="containsText" dxfId="27" priority="36" operator="containsText" text="&quot;NO&quot;">
      <formula>NOT(ISERROR(SEARCH("""NO""",A48)))</formula>
    </cfRule>
    <cfRule type="cellIs" dxfId="26" priority="37" operator="equal">
      <formula>"""NO"""</formula>
    </cfRule>
  </conditionalFormatting>
  <conditionalFormatting sqref="K55">
    <cfRule type="containsText" dxfId="25" priority="34" operator="containsText" text="&quot;NO&quot;">
      <formula>NOT(ISERROR(SEARCH("""NO""",K55)))</formula>
    </cfRule>
    <cfRule type="cellIs" dxfId="24" priority="35" operator="equal">
      <formula>"""NO"""</formula>
    </cfRule>
  </conditionalFormatting>
  <conditionalFormatting sqref="M58">
    <cfRule type="containsText" dxfId="23" priority="33" operator="containsText" text="REVISAR">
      <formula>NOT(ISERROR(SEARCH("REVISAR",M58)))</formula>
    </cfRule>
  </conditionalFormatting>
  <conditionalFormatting sqref="B1:B17">
    <cfRule type="containsText" dxfId="22" priority="31" operator="containsText" text="&quot;NO&quot;">
      <formula>NOT(ISERROR(SEARCH("""NO""",B1)))</formula>
    </cfRule>
    <cfRule type="cellIs" dxfId="21" priority="32" operator="equal">
      <formula>"""NO"""</formula>
    </cfRule>
  </conditionalFormatting>
  <conditionalFormatting sqref="A1">
    <cfRule type="containsText" dxfId="20" priority="29" operator="containsText" text="&quot;NO&quot;">
      <formula>NOT(ISERROR(SEARCH("""NO""",A1)))</formula>
    </cfRule>
    <cfRule type="cellIs" dxfId="19" priority="30" operator="equal">
      <formula>"""NO"""</formula>
    </cfRule>
  </conditionalFormatting>
  <conditionalFormatting sqref="A2:A17">
    <cfRule type="containsText" dxfId="18" priority="27" operator="containsText" text="&quot;NO&quot;">
      <formula>NOT(ISERROR(SEARCH("""NO""",A2)))</formula>
    </cfRule>
    <cfRule type="cellIs" dxfId="17" priority="28" operator="equal">
      <formula>"""NO"""</formula>
    </cfRule>
  </conditionalFormatting>
  <conditionalFormatting sqref="K34">
    <cfRule type="containsText" dxfId="16" priority="25" operator="containsText" text="&quot;NO&quot;">
      <formula>NOT(ISERROR(SEARCH("""NO""",K34)))</formula>
    </cfRule>
    <cfRule type="cellIs" dxfId="15" priority="26" operator="equal">
      <formula>"""NO"""</formula>
    </cfRule>
  </conditionalFormatting>
  <conditionalFormatting sqref="K35 K37">
    <cfRule type="containsText" dxfId="14" priority="23" operator="containsText" text="&quot;NO&quot;">
      <formula>NOT(ISERROR(SEARCH("""NO""",K35)))</formula>
    </cfRule>
    <cfRule type="cellIs" dxfId="13" priority="24" operator="equal">
      <formula>"""NO"""</formula>
    </cfRule>
  </conditionalFormatting>
  <conditionalFormatting sqref="M12">
    <cfRule type="containsText" dxfId="12" priority="22" operator="containsText" text="ERROR">
      <formula>NOT(ISERROR(SEARCH("ERROR",M12)))</formula>
    </cfRule>
  </conditionalFormatting>
  <conditionalFormatting sqref="M13">
    <cfRule type="containsText" priority="21" operator="containsText" text="ERROR">
      <formula>NOT(ISERROR(SEARCH("ERROR",M13)))</formula>
    </cfRule>
  </conditionalFormatting>
  <conditionalFormatting sqref="K36 K38:K39">
    <cfRule type="containsText" dxfId="11" priority="19" operator="containsText" text="&quot;NO&quot;">
      <formula>NOT(ISERROR(SEARCH("""NO""",K36)))</formula>
    </cfRule>
    <cfRule type="cellIs" dxfId="10" priority="20" operator="equal">
      <formula>"""NO"""</formula>
    </cfRule>
  </conditionalFormatting>
  <conditionalFormatting sqref="L39">
    <cfRule type="containsText" dxfId="9" priority="14" operator="containsText" text="&quot;NO&quot;">
      <formula>NOT(ISERROR(SEARCH("""NO""",L39)))</formula>
    </cfRule>
    <cfRule type="cellIs" dxfId="8" priority="15" operator="equal">
      <formula>"""NO"""</formula>
    </cfRule>
  </conditionalFormatting>
  <conditionalFormatting sqref="N2">
    <cfRule type="expression" dxfId="7" priority="9">
      <formula>$M$2="Indica la pendiente"</formula>
    </cfRule>
  </conditionalFormatting>
  <conditionalFormatting sqref="M35">
    <cfRule type="expression" dxfId="6" priority="6">
      <formula>AND($L$39 &gt;= 1000, ISNUMBER($L$39))</formula>
    </cfRule>
    <cfRule type="expression" dxfId="5" priority="8">
      <formula>"SI $L$39 &gt;= 1000"</formula>
    </cfRule>
  </conditionalFormatting>
  <conditionalFormatting sqref="N2:O3">
    <cfRule type="expression" dxfId="4" priority="313">
      <formula>$D$47="Supera importe unitario"</formula>
    </cfRule>
  </conditionalFormatting>
  <conditionalFormatting sqref="P2">
    <cfRule type="notContainsBlanks" dxfId="3" priority="314">
      <formula>LEN(TRIM(P2))&gt;0</formula>
    </cfRule>
  </conditionalFormatting>
  <conditionalFormatting sqref="P3">
    <cfRule type="containsText" dxfId="2" priority="2" operator="containsText" text="Este sería, en todo caso, el importe máximo subvencionable para esta zona con los datos indicados en esta memoria">
      <formula>NOT(ISERROR(SEARCH("Este sería, en todo caso, el importe máximo subvencionable para esta zona con los datos indicados en esta memoria",P3)))</formula>
    </cfRule>
  </conditionalFormatting>
  <conditionalFormatting sqref="O2:O3">
    <cfRule type="expression" dxfId="1" priority="1">
      <formula xml:space="preserve"> AND(ISNUMBER($O$2),$O$2&gt;= 40000)</formula>
    </cfRule>
  </conditionalFormatting>
  <dataValidations count="2">
    <dataValidation type="list" allowBlank="1" showInputMessage="1" showErrorMessage="1" sqref="M2:M3" xr:uid="{B60E6EF4-DFFB-4014-8FA1-4C0C82BA4077}">
      <formula1>"Indica la pendiente,Pte. menor o igual al 10%,Pte. entre el 10-20%,Pte. igual o superior al 20%"</formula1>
    </dataValidation>
    <dataValidation type="decimal" errorStyle="warning" operator="lessThan" allowBlank="1" showInputMessage="1" errorTitle="OJO!!" error="El importe es superior a 40.000 €. Se establece una ayuda máxima de 40.000 € por persona beneficiaria." sqref="O2:O3" xr:uid="{4F7DE297-E8A9-4887-B128-1514C0CEAC8E}">
      <formula1>40000</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ontainsText" priority="5" operator="containsText" id="{58F8793A-71BE-4A63-AEDB-0186048AA0DA}">
            <xm:f>NOT(ISERROR(SEARCH($P$1,P1)))</xm:f>
            <xm:f>$P$1</xm:f>
            <x14:dxf>
              <fill>
                <patternFill patternType="solid">
                  <bgColor theme="6" tint="0.79998168889431442"/>
                </patternFill>
              </fill>
              <border>
                <left style="thin">
                  <color auto="1"/>
                </left>
                <right style="thin">
                  <color auto="1"/>
                </right>
                <top style="thin">
                  <color auto="1"/>
                </top>
                <bottom style="thin">
                  <color auto="1"/>
                </bottom>
              </border>
            </x14:dxf>
          </x14:cfRule>
          <xm:sqref>P1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D02EDEA87CDB34AB259A4FBBBAFCD76" ma:contentTypeVersion="12" ma:contentTypeDescription="Crear nuevo documento." ma:contentTypeScope="" ma:versionID="9a377f97000484905cd15e6a0451f8d6">
  <xsd:schema xmlns:xsd="http://www.w3.org/2001/XMLSchema" xmlns:xs="http://www.w3.org/2001/XMLSchema" xmlns:p="http://schemas.microsoft.com/office/2006/metadata/properties" xmlns:ns2="b3113781-2590-435e-b461-92b58f5252d3" xmlns:ns3="f283de30-5690-4e75-959b-bff30d06fad0" targetNamespace="http://schemas.microsoft.com/office/2006/metadata/properties" ma:root="true" ma:fieldsID="72aa4ce0ae984e3ac7ac15d42cd63488" ns2:_="" ns3:_="">
    <xsd:import namespace="b3113781-2590-435e-b461-92b58f5252d3"/>
    <xsd:import namespace="f283de30-5690-4e75-959b-bff30d06fad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113781-2590-435e-b461-92b58f5252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709aa915-dd52-4b6d-903e-32ce8862fbd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83de30-5690-4e75-959b-bff30d06fad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44042a8-083a-4943-8f8d-19e1f2a0f193}" ma:internalName="TaxCatchAll" ma:showField="CatchAllData" ma:web="f283de30-5690-4e75-959b-bff30d06fad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283de30-5690-4e75-959b-bff30d06fad0" xsi:nil="true"/>
    <lcf76f155ced4ddcb4097134ff3c332f xmlns="b3113781-2590-435e-b461-92b58f5252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B0F63F-DC00-4F74-BDAF-F1A881BBAE1D}">
  <ds:schemaRefs>
    <ds:schemaRef ds:uri="http://schemas.microsoft.com/sharepoint/v3/contenttype/forms"/>
  </ds:schemaRefs>
</ds:datastoreItem>
</file>

<file path=customXml/itemProps2.xml><?xml version="1.0" encoding="utf-8"?>
<ds:datastoreItem xmlns:ds="http://schemas.openxmlformats.org/officeDocument/2006/customXml" ds:itemID="{78A3DB21-8D12-477B-A6D8-B78EEE3A3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113781-2590-435e-b461-92b58f5252d3"/>
    <ds:schemaRef ds:uri="f283de30-5690-4e75-959b-bff30d06f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32EE06-F11F-4D90-9093-0B59C3BDC9FE}">
  <ds:schemaRefs>
    <ds:schemaRef ds:uri="http://purl.org/dc/dcmitype/"/>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b3113781-2590-435e-b461-92b58f5252d3"/>
    <ds:schemaRef ds:uri="http://schemas.openxmlformats.org/package/2006/metadata/core-properties"/>
    <ds:schemaRef ds:uri="f283de30-5690-4e75-959b-bff30d06fa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Zona Homogénea 1</vt:lpstr>
    </vt:vector>
  </TitlesOfParts>
  <Manager/>
  <Company>Junta Comunidades Castilla la Mancha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bbvp12 Brais Varela Pajaro tfno:9498 85213</dc:creator>
  <cp:keywords/>
  <dc:description/>
  <cp:lastModifiedBy>Olga Herranz Pastor</cp:lastModifiedBy>
  <cp:revision/>
  <dcterms:created xsi:type="dcterms:W3CDTF">2023-04-27T12:02:01Z</dcterms:created>
  <dcterms:modified xsi:type="dcterms:W3CDTF">2026-05-06T07:43:59Z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0x0101000D02EDEA87CDB34AB259A4FBBBAFCD76</vt:lpwstr>
  </property>
  <property fmtid="{D5CDD505-2E9C-101B-9397-08002B2CF9AE}" pid="3" name="MediaServiceImageTags">
    <vt:lpwstr/>
  </property>
</Properties>
</file>